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ЭтаКнига" defaultThemeVersion="124226"/>
  <bookViews>
    <workbookView xWindow="180" yWindow="2895" windowWidth="14925" windowHeight="5280" tabRatio="852" firstSheet="13" activeTab="21"/>
  </bookViews>
  <sheets>
    <sheet name="прил.1 (админ.)" sheetId="1" r:id="rId1"/>
    <sheet name="прил. 2 (поступл.19)" sheetId="5" r:id="rId2"/>
    <sheet name="прил. 3 (поступл. 20-21)" sheetId="15" r:id="rId3"/>
    <sheet name="прил.4 (пост.безв.19)" sheetId="2" r:id="rId4"/>
    <sheet name="прил.5 (пост.безв.20-21)" sheetId="16" r:id="rId5"/>
    <sheet name="прил.6 (безв.от пос.19)" sheetId="4" r:id="rId6"/>
    <sheet name="прил.7 (норм.доходов)" sheetId="26" r:id="rId7"/>
    <sheet name="прил 8 (Рз,ПР 19)" sheetId="6" r:id="rId8"/>
    <sheet name="прил 9 (Рз,ПР 20-21)" sheetId="17" r:id="rId9"/>
    <sheet name="прил 10 (ЦС,ВР 19)" sheetId="7" r:id="rId10"/>
    <sheet name="прил 11 (ЦС,ВР 20-21)" sheetId="18" r:id="rId11"/>
    <sheet name="прил12(ведом 19)" sheetId="3" r:id="rId12"/>
    <sheet name="прил13(ведом 20-21)" sheetId="19" r:id="rId13"/>
    <sheet name="прил.14 (Источники 19)" sheetId="8" r:id="rId14"/>
    <sheet name="прил.15 (Источники 20-21)" sheetId="20" r:id="rId15"/>
    <sheet name="прил.16(безв.всего 19)" sheetId="9" r:id="rId16"/>
    <sheet name="прил.17(безв.всего 20-21)" sheetId="21" r:id="rId17"/>
    <sheet name="прил.18(дотация 19)" sheetId="11" r:id="rId18"/>
    <sheet name="прил.19(дотация 20-21)" sheetId="22" r:id="rId19"/>
    <sheet name="прил.20мун.заим.19-21)" sheetId="12" r:id="rId20"/>
    <sheet name="прил.21(гар. 19-21)" sheetId="13" r:id="rId21"/>
    <sheet name="прил.22(инвест.19)" sheetId="27" r:id="rId22"/>
  </sheets>
  <definedNames>
    <definedName name="_xlnm._FilterDatabase" localSheetId="9" hidden="1">'прил 10 (ЦС,ВР 19)'!$C$1:$F$516</definedName>
    <definedName name="_xlnm._FilterDatabase" localSheetId="10" hidden="1">'прил 11 (ЦС,ВР 20-21)'!$B$1:$I$292</definedName>
    <definedName name="_xlnm._FilterDatabase" localSheetId="7" hidden="1">'прил 8 (Рз,ПР 19)'!$A$1:$D$62</definedName>
    <definedName name="_xlnm._FilterDatabase" localSheetId="8" hidden="1">'прил 9 (Рз,ПР 20-21)'!$A$13:$AJ$51</definedName>
    <definedName name="_xlnm._FilterDatabase" localSheetId="0" hidden="1">'прил.1 (админ.)'!$A$4:$C$169</definedName>
    <definedName name="_xlnm._FilterDatabase" localSheetId="3" hidden="1">'прил.4 (пост.безв.19)'!$B$1:$D$421</definedName>
    <definedName name="_xlnm._FilterDatabase" localSheetId="4" hidden="1">'прил.5 (пост.безв.20-21)'!$A$1:$F$409</definedName>
    <definedName name="_xlnm._FilterDatabase" localSheetId="11" hidden="1">'прил12(ведом 19)'!$A$1:$M$748</definedName>
    <definedName name="_xlnm._FilterDatabase" localSheetId="12" hidden="1">'прил13(ведом 20-21)'!$A$1:$N$443</definedName>
    <definedName name="Z_168CADD9_CFDC_4445_BFE6_DAD4B9423C72_.wvu.FilterData" localSheetId="9" hidden="1">'прил 10 (ЦС,ВР 19)'!#REF!</definedName>
    <definedName name="Z_168CADD9_CFDC_4445_BFE6_DAD4B9423C72_.wvu.FilterData" localSheetId="10" hidden="1">'прил 11 (ЦС,ВР 20-21)'!#REF!</definedName>
    <definedName name="Z_1F25B6A1_C9F7_11D8_A2FD_006098EF8B30_.wvu.FilterData" localSheetId="9" hidden="1">'прил 10 (ЦС,ВР 19)'!#REF!</definedName>
    <definedName name="Z_1F25B6A1_C9F7_11D8_A2FD_006098EF8B30_.wvu.FilterData" localSheetId="10" hidden="1">'прил 11 (ЦС,ВР 20-21)'!#REF!</definedName>
    <definedName name="Z_29D950F2_21ED_48E6_BFC6_87DD89E0125A_.wvu.FilterData" localSheetId="9" hidden="1">'прил 10 (ЦС,ВР 19)'!#REF!</definedName>
    <definedName name="Z_29D950F2_21ED_48E6_BFC6_87DD89E0125A_.wvu.FilterData" localSheetId="10" hidden="1">'прил 11 (ЦС,ВР 20-21)'!#REF!</definedName>
    <definedName name="Z_2CA7FCD5_27A5_4474_9D49_7A7E23BD2FF9_.wvu.FilterData" localSheetId="9" hidden="1">'прил 10 (ЦС,ВР 19)'!#REF!</definedName>
    <definedName name="Z_2CA7FCD5_27A5_4474_9D49_7A7E23BD2FF9_.wvu.FilterData" localSheetId="10" hidden="1">'прил 11 (ЦС,ВР 20-21)'!#REF!</definedName>
    <definedName name="Z_48E28AC5_4E0A_4FBA_AE6D_340F9E8D4B3C_.wvu.FilterData" localSheetId="9" hidden="1">'прил 10 (ЦС,ВР 19)'!#REF!</definedName>
    <definedName name="Z_48E28AC5_4E0A_4FBA_AE6D_340F9E8D4B3C_.wvu.FilterData" localSheetId="10" hidden="1">'прил 11 (ЦС,ВР 20-21)'!#REF!</definedName>
    <definedName name="Z_6398E0F2_3205_40F4_BF0A_C9F4D0DA9A75_.wvu.FilterData" localSheetId="9" hidden="1">'прил 10 (ЦС,ВР 19)'!#REF!</definedName>
    <definedName name="Z_6398E0F2_3205_40F4_BF0A_C9F4D0DA9A75_.wvu.FilterData" localSheetId="10" hidden="1">'прил 11 (ЦС,ВР 20-21)'!#REF!</definedName>
    <definedName name="Z_64DF1B77_0EDD_4B56_A91C_5E003BE599EF_.wvu.FilterData" localSheetId="9" hidden="1">'прил 10 (ЦС,ВР 19)'!#REF!</definedName>
    <definedName name="Z_64DF1B77_0EDD_4B56_A91C_5E003BE599EF_.wvu.FilterData" localSheetId="10" hidden="1">'прил 11 (ЦС,ВР 20-21)'!#REF!</definedName>
    <definedName name="Z_6786C020_BCF1_463A_B3E9_7DE69D46EAB3_.wvu.FilterData" localSheetId="9" hidden="1">'прил 10 (ЦС,ВР 19)'!#REF!</definedName>
    <definedName name="Z_6786C020_BCF1_463A_B3E9_7DE69D46EAB3_.wvu.FilterData" localSheetId="10" hidden="1">'прил 11 (ЦС,ВР 20-21)'!#REF!</definedName>
    <definedName name="Z_8E2E7D81_C767_11D8_A2FD_006098EF8B30_.wvu.FilterData" localSheetId="9" hidden="1">'прил 10 (ЦС,ВР 19)'!#REF!</definedName>
    <definedName name="Z_8E2E7D81_C767_11D8_A2FD_006098EF8B30_.wvu.FilterData" localSheetId="10" hidden="1">'прил 11 (ЦС,ВР 20-21)'!#REF!</definedName>
    <definedName name="Z_97D0CDFA_8A34_4B3C_BA32_D4F0E3218B75_.wvu.FilterData" localSheetId="9" hidden="1">'прил 10 (ЦС,ВР 19)'!#REF!</definedName>
    <definedName name="Z_97D0CDFA_8A34_4B3C_BA32_D4F0E3218B75_.wvu.FilterData" localSheetId="10" hidden="1">'прил 11 (ЦС,ВР 20-21)'!#REF!</definedName>
    <definedName name="Z_B246FE0E_E986_4211_B02A_04E4565C0FED_.wvu.Cols" localSheetId="9" hidden="1">'прил 10 (ЦС,ВР 19)'!$A:$A,'прил 10 (ЦС,ВР 19)'!#REF!</definedName>
    <definedName name="Z_B246FE0E_E986_4211_B02A_04E4565C0FED_.wvu.Cols" localSheetId="10" hidden="1">'прил 11 (ЦС,ВР 20-21)'!$A:$A,'прил 11 (ЦС,ВР 20-21)'!#REF!</definedName>
    <definedName name="Z_B246FE0E_E986_4211_B02A_04E4565C0FED_.wvu.FilterData" localSheetId="9" hidden="1">'прил 10 (ЦС,ВР 19)'!#REF!</definedName>
    <definedName name="Z_B246FE0E_E986_4211_B02A_04E4565C0FED_.wvu.FilterData" localSheetId="10" hidden="1">'прил 11 (ЦС,ВР 20-21)'!#REF!</definedName>
    <definedName name="Z_B246FE0E_E986_4211_B02A_04E4565C0FED_.wvu.PrintArea" localSheetId="9" hidden="1">'прил 10 (ЦС,ВР 19)'!#REF!</definedName>
    <definedName name="Z_B246FE0E_E986_4211_B02A_04E4565C0FED_.wvu.PrintArea" localSheetId="10" hidden="1">'прил 11 (ЦС,ВР 20-21)'!#REF!</definedName>
    <definedName name="Z_B246FE0E_E986_4211_B02A_04E4565C0FED_.wvu.PrintTitles" localSheetId="9" hidden="1">'прил 10 (ЦС,ВР 19)'!#REF!</definedName>
    <definedName name="Z_B246FE0E_E986_4211_B02A_04E4565C0FED_.wvu.PrintTitles" localSheetId="10" hidden="1">'прил 11 (ЦС,ВР 20-21)'!#REF!</definedName>
    <definedName name="Z_C54CDF8B_FA5C_4A02_B343_3FEFD9721392_.wvu.FilterData" localSheetId="9" hidden="1">'прил 10 (ЦС,ВР 19)'!#REF!</definedName>
    <definedName name="Z_C54CDF8B_FA5C_4A02_B343_3FEFD9721392_.wvu.FilterData" localSheetId="10" hidden="1">'прил 11 (ЦС,ВР 20-21)'!#REF!</definedName>
    <definedName name="Z_D7174C22_B878_4584_A218_37ED88979064_.wvu.FilterData" localSheetId="9" hidden="1">'прил 10 (ЦС,ВР 19)'!#REF!</definedName>
    <definedName name="Z_D7174C22_B878_4584_A218_37ED88979064_.wvu.FilterData" localSheetId="10" hidden="1">'прил 11 (ЦС,ВР 20-21)'!#REF!</definedName>
    <definedName name="Z_DD7538FB_7299_4DEE_90D5_2739132A1616_.wvu.FilterData" localSheetId="9" hidden="1">'прил 10 (ЦС,ВР 19)'!#REF!</definedName>
    <definedName name="Z_DD7538FB_7299_4DEE_90D5_2739132A1616_.wvu.FilterData" localSheetId="10" hidden="1">'прил 11 (ЦС,ВР 20-21)'!#REF!</definedName>
    <definedName name="Z_E4B436A8_4A5B_422F_8C0E_9267F763D19D_.wvu.FilterData" localSheetId="9" hidden="1">'прил 10 (ЦС,ВР 19)'!#REF!</definedName>
    <definedName name="Z_E4B436A8_4A5B_422F_8C0E_9267F763D19D_.wvu.FilterData" localSheetId="10" hidden="1">'прил 11 (ЦС,ВР 20-21)'!#REF!</definedName>
    <definedName name="Z_E6BB4361_1D58_11D9_A2FD_006098EF8B30_.wvu.FilterData" localSheetId="9" hidden="1">'прил 10 (ЦС,ВР 19)'!#REF!</definedName>
    <definedName name="Z_E6BB4361_1D58_11D9_A2FD_006098EF8B30_.wvu.FilterData" localSheetId="10" hidden="1">'прил 11 (ЦС,ВР 20-21)'!#REF!</definedName>
    <definedName name="Z_EF486DA3_1DF3_11D9_A2FD_006098EF8B30_.wvu.FilterData" localSheetId="9" hidden="1">'прил 10 (ЦС,ВР 19)'!#REF!</definedName>
    <definedName name="Z_EF486DA3_1DF3_11D9_A2FD_006098EF8B30_.wvu.FilterData" localSheetId="10" hidden="1">'прил 11 (ЦС,ВР 20-21)'!#REF!</definedName>
    <definedName name="Z_EF486DA8_1DF3_11D9_A2FD_006098EF8B30_.wvu.FilterData" localSheetId="9" hidden="1">'прил 10 (ЦС,ВР 19)'!#REF!</definedName>
    <definedName name="Z_EF486DA8_1DF3_11D9_A2FD_006098EF8B30_.wvu.FilterData" localSheetId="10" hidden="1">'прил 11 (ЦС,ВР 20-21)'!#REF!</definedName>
    <definedName name="Z_EF486DAA_1DF3_11D9_A2FD_006098EF8B30_.wvu.FilterData" localSheetId="9" hidden="1">'прил 10 (ЦС,ВР 19)'!#REF!</definedName>
    <definedName name="Z_EF486DAA_1DF3_11D9_A2FD_006098EF8B30_.wvu.FilterData" localSheetId="10" hidden="1">'прил 11 (ЦС,ВР 20-21)'!#REF!</definedName>
    <definedName name="Z_EF486DAC_1DF3_11D9_A2FD_006098EF8B30_.wvu.FilterData" localSheetId="9" hidden="1">'прил 10 (ЦС,ВР 19)'!#REF!</definedName>
    <definedName name="Z_EF486DAC_1DF3_11D9_A2FD_006098EF8B30_.wvu.FilterData" localSheetId="10" hidden="1">'прил 11 (ЦС,ВР 20-21)'!#REF!</definedName>
    <definedName name="Z_EF5A4981_C8E4_11D8_A2FC_006098EF8BA8_.wvu.Cols" localSheetId="9" hidden="1">'прил 10 (ЦС,ВР 19)'!$A:$A,'прил 10 (ЦС,ВР 19)'!#REF!,'прил 10 (ЦС,ВР 19)'!#REF!</definedName>
    <definedName name="Z_EF5A4981_C8E4_11D8_A2FC_006098EF8BA8_.wvu.Cols" localSheetId="10" hidden="1">'прил 11 (ЦС,ВР 20-21)'!$A:$A,'прил 11 (ЦС,ВР 20-21)'!#REF!,'прил 11 (ЦС,ВР 20-21)'!#REF!</definedName>
    <definedName name="Z_EF5A4981_C8E4_11D8_A2FC_006098EF8BA8_.wvu.FilterData" localSheetId="9" hidden="1">'прил 10 (ЦС,ВР 19)'!#REF!</definedName>
    <definedName name="Z_EF5A4981_C8E4_11D8_A2FC_006098EF8BA8_.wvu.FilterData" localSheetId="10" hidden="1">'прил 11 (ЦС,ВР 20-21)'!#REF!</definedName>
    <definedName name="Z_EF5A4981_C8E4_11D8_A2FC_006098EF8BA8_.wvu.PrintArea" localSheetId="9" hidden="1">'прил 10 (ЦС,ВР 19)'!#REF!</definedName>
    <definedName name="Z_EF5A4981_C8E4_11D8_A2FC_006098EF8BA8_.wvu.PrintArea" localSheetId="10" hidden="1">'прил 11 (ЦС,ВР 20-21)'!#REF!</definedName>
    <definedName name="Z_EF5A4981_C8E4_11D8_A2FC_006098EF8BA8_.wvu.PrintTitles" localSheetId="9" hidden="1">'прил 10 (ЦС,ВР 19)'!#REF!</definedName>
    <definedName name="Z_EF5A4981_C8E4_11D8_A2FC_006098EF8BA8_.wvu.PrintTitles" localSheetId="10" hidden="1">'прил 11 (ЦС,ВР 20-21)'!#REF!</definedName>
    <definedName name="_xlnm.Print_Titles" localSheetId="9">'прил 10 (ЦС,ВР 19)'!$11:$11</definedName>
    <definedName name="_xlnm.Print_Titles" localSheetId="10">'прил 11 (ЦС,ВР 20-21)'!$13:$13</definedName>
    <definedName name="_xlnm.Print_Titles" localSheetId="7">'прил 8 (Рз,ПР 19)'!$13:$13</definedName>
    <definedName name="_xlnm.Print_Titles" localSheetId="8">'прил 9 (Рз,ПР 20-21)'!$14:$14</definedName>
    <definedName name="_xlnm.Print_Titles" localSheetId="1">'прил. 2 (поступл.19)'!$12:$12</definedName>
    <definedName name="_xlnm.Print_Titles" localSheetId="2">'прил. 3 (поступл. 20-21)'!$13:$13</definedName>
    <definedName name="_xlnm.Print_Titles" localSheetId="0">'прил.1 (админ.)'!$12:$12</definedName>
    <definedName name="_xlnm.Print_Titles" localSheetId="13">'прил.14 (Источники 19)'!$13:$13</definedName>
    <definedName name="_xlnm.Print_Titles" localSheetId="14">'прил.15 (Источники 20-21)'!$12:$12</definedName>
    <definedName name="_xlnm.Print_Titles" localSheetId="19">'прил.20мун.заим.19-21)'!#REF!</definedName>
    <definedName name="_xlnm.Print_Titles" localSheetId="3">'прил.4 (пост.безв.19)'!$12:$12</definedName>
    <definedName name="_xlnm.Print_Titles" localSheetId="4">'прил.5 (пост.безв.20-21)'!$13:$13</definedName>
    <definedName name="_xlnm.Print_Titles" localSheetId="6">'прил.7 (норм.доходов)'!$10:$10</definedName>
    <definedName name="_xlnm.Print_Titles" localSheetId="11">'прил12(ведом 19)'!$12:$12</definedName>
    <definedName name="_xlnm.Print_Titles" localSheetId="12">'прил13(ведом 20-21)'!$14:$14</definedName>
    <definedName name="_xlnm.Print_Area" localSheetId="9">'прил 10 (ЦС,ВР 19)'!$A$1:$H$505</definedName>
    <definedName name="_xlnm.Print_Area" localSheetId="10">'прил 11 (ЦС,ВР 20-21)'!$A$1:$I$278</definedName>
    <definedName name="_xlnm.Print_Area" localSheetId="7">'прил 8 (Рз,ПР 19)'!$A$1:$D$62</definedName>
    <definedName name="_xlnm.Print_Area" localSheetId="8">'прил 9 (Рз,ПР 20-21)'!$A$1:$E$56</definedName>
    <definedName name="_xlnm.Print_Area" localSheetId="1">'прил. 2 (поступл.19)'!$A$1:$C$45</definedName>
    <definedName name="_xlnm.Print_Area" localSheetId="2">'прил. 3 (поступл. 20-21)'!$A$1:$D$43</definedName>
    <definedName name="_xlnm.Print_Area" localSheetId="0">'прил.1 (админ.)'!$A$1:$C$169</definedName>
    <definedName name="_xlnm.Print_Area" localSheetId="15">'прил.16(безв.всего 19)'!$A$1:$B$20</definedName>
    <definedName name="_xlnm.Print_Area" localSheetId="17">'прил.18(дотация 19)'!$A$1:$F$24</definedName>
    <definedName name="_xlnm.Print_Area" localSheetId="18">'прил.19(дотация 20-21)'!$A$1:$G$25</definedName>
    <definedName name="_xlnm.Print_Area" localSheetId="21">'прил.22(инвест.19)'!$A$1:$C$21</definedName>
    <definedName name="_xlnm.Print_Area" localSheetId="3">'прил.4 (пост.безв.19)'!$A$1:$C$81</definedName>
    <definedName name="_xlnm.Print_Area" localSheetId="4">'прил.5 (пост.безв.20-21)'!$A$1:$D$64</definedName>
    <definedName name="_xlnm.Print_Area" localSheetId="5">'прил.6 (безв.от пос.19)'!$A$1:$F$31</definedName>
    <definedName name="_xlnm.Print_Area" localSheetId="11">'прил12(ведом 19)'!$A$1:$M$680</definedName>
    <definedName name="_xlnm.Print_Area" localSheetId="12">'прил13(ведом 20-21)'!$A$1:$N$372</definedName>
  </definedNames>
  <calcPr calcId="124519"/>
</workbook>
</file>

<file path=xl/calcChain.xml><?xml version="1.0" encoding="utf-8"?>
<calcChain xmlns="http://schemas.openxmlformats.org/spreadsheetml/2006/main">
  <c r="C38" i="5"/>
  <c r="M513" i="3" l="1"/>
  <c r="M515"/>
  <c r="M445" l="1"/>
  <c r="M443"/>
  <c r="N367" i="19" l="1"/>
  <c r="M367"/>
  <c r="C25" i="8" l="1"/>
  <c r="C30" i="2" l="1"/>
  <c r="C37"/>
  <c r="D14" i="20" l="1"/>
  <c r="C14"/>
  <c r="C27" i="12" l="1"/>
  <c r="M585" i="3" l="1"/>
  <c r="H102" i="7" l="1"/>
  <c r="H101" s="1"/>
  <c r="H68"/>
  <c r="H67" s="1"/>
  <c r="H34"/>
  <c r="H33" s="1"/>
  <c r="L463" i="3"/>
  <c r="L462" s="1"/>
  <c r="M462"/>
  <c r="K462"/>
  <c r="L422"/>
  <c r="L421" s="1"/>
  <c r="M421"/>
  <c r="K421"/>
  <c r="L380"/>
  <c r="L379" s="1"/>
  <c r="M379"/>
  <c r="K379"/>
  <c r="M348"/>
  <c r="L348" s="1"/>
  <c r="L347" s="1"/>
  <c r="K348"/>
  <c r="K347"/>
  <c r="H348" i="7" l="1"/>
  <c r="H347" s="1"/>
  <c r="M347" i="3"/>
  <c r="I89" i="18"/>
  <c r="I88" s="1"/>
  <c r="I87" s="1"/>
  <c r="I86" s="1"/>
  <c r="H89"/>
  <c r="H88" s="1"/>
  <c r="H87" s="1"/>
  <c r="H86" s="1"/>
  <c r="N267" i="19"/>
  <c r="N266" s="1"/>
  <c r="N265" s="1"/>
  <c r="M267"/>
  <c r="M266" s="1"/>
  <c r="M265" s="1"/>
  <c r="K267"/>
  <c r="K266" s="1"/>
  <c r="K265" s="1"/>
  <c r="L268"/>
  <c r="L267" s="1"/>
  <c r="L266" s="1"/>
  <c r="L265" s="1"/>
  <c r="H492" i="7"/>
  <c r="H316"/>
  <c r="H315" s="1"/>
  <c r="L289" i="3"/>
  <c r="L288" s="1"/>
  <c r="M288"/>
  <c r="K288"/>
  <c r="M395" l="1"/>
  <c r="M368" l="1"/>
  <c r="C18" i="8" l="1"/>
  <c r="D33" i="16" l="1"/>
  <c r="C33"/>
  <c r="C38" i="2"/>
  <c r="C33"/>
  <c r="C54"/>
  <c r="H72" i="7"/>
  <c r="H320"/>
  <c r="H319" s="1"/>
  <c r="H318" s="1"/>
  <c r="L293" i="3"/>
  <c r="K292"/>
  <c r="K291" s="1"/>
  <c r="K290" s="1"/>
  <c r="H296" i="7"/>
  <c r="H295" s="1"/>
  <c r="H202"/>
  <c r="H104"/>
  <c r="H103" s="1"/>
  <c r="C28" i="5" l="1"/>
  <c r="I111" i="18" l="1"/>
  <c r="I110" s="1"/>
  <c r="H111"/>
  <c r="H110" s="1"/>
  <c r="I82"/>
  <c r="I81" s="1"/>
  <c r="H82"/>
  <c r="H81" s="1"/>
  <c r="I221"/>
  <c r="I220" s="1"/>
  <c r="I219" s="1"/>
  <c r="I218" s="1"/>
  <c r="I217" s="1"/>
  <c r="H221"/>
  <c r="H220" s="1"/>
  <c r="H219" s="1"/>
  <c r="H218" s="1"/>
  <c r="H217" s="1"/>
  <c r="N161" i="19"/>
  <c r="M161"/>
  <c r="M587" i="3"/>
  <c r="M586"/>
  <c r="L269"/>
  <c r="L268" s="1"/>
  <c r="M268"/>
  <c r="K268"/>
  <c r="M407"/>
  <c r="M432"/>
  <c r="K431"/>
  <c r="K428" s="1"/>
  <c r="M396"/>
  <c r="M394"/>
  <c r="M427"/>
  <c r="H73" i="7" s="1"/>
  <c r="L426" i="3"/>
  <c r="M425"/>
  <c r="K425"/>
  <c r="L427"/>
  <c r="M399"/>
  <c r="L465"/>
  <c r="M464"/>
  <c r="K464"/>
  <c r="M424"/>
  <c r="M420"/>
  <c r="M419"/>
  <c r="M492"/>
  <c r="L492" s="1"/>
  <c r="M393"/>
  <c r="L261" i="19"/>
  <c r="L260" s="1"/>
  <c r="N260"/>
  <c r="M260"/>
  <c r="K260"/>
  <c r="M453" i="3"/>
  <c r="M372"/>
  <c r="M402"/>
  <c r="M450"/>
  <c r="M451"/>
  <c r="M567"/>
  <c r="L93" i="19"/>
  <c r="L92" s="1"/>
  <c r="L91" s="1"/>
  <c r="L90" s="1"/>
  <c r="L89" s="1"/>
  <c r="N92"/>
  <c r="N91" s="1"/>
  <c r="N90" s="1"/>
  <c r="N89" s="1"/>
  <c r="M92"/>
  <c r="M91" s="1"/>
  <c r="M90" s="1"/>
  <c r="M89" s="1"/>
  <c r="K92"/>
  <c r="K91" s="1"/>
  <c r="K90" s="1"/>
  <c r="K89" s="1"/>
  <c r="L432" i="3" l="1"/>
  <c r="L431" s="1"/>
  <c r="H78" i="7"/>
  <c r="H77" s="1"/>
  <c r="M431" i="3"/>
  <c r="L464"/>
  <c r="L425"/>
  <c r="N289" i="19"/>
  <c r="L290"/>
  <c r="L289" s="1"/>
  <c r="M289"/>
  <c r="K367"/>
  <c r="K366" s="1"/>
  <c r="K363"/>
  <c r="K362" s="1"/>
  <c r="K360"/>
  <c r="K359" s="1"/>
  <c r="K357"/>
  <c r="K356" s="1"/>
  <c r="K350"/>
  <c r="K348"/>
  <c r="K344"/>
  <c r="K341"/>
  <c r="K338"/>
  <c r="K335"/>
  <c r="K328"/>
  <c r="K327" s="1"/>
  <c r="K326" s="1"/>
  <c r="K325" s="1"/>
  <c r="K324" s="1"/>
  <c r="K323" s="1"/>
  <c r="K317"/>
  <c r="K316" s="1"/>
  <c r="K315" s="1"/>
  <c r="K314" s="1"/>
  <c r="K313" s="1"/>
  <c r="K310"/>
  <c r="K309" s="1"/>
  <c r="K308" s="1"/>
  <c r="K307" s="1"/>
  <c r="K306" s="1"/>
  <c r="K299"/>
  <c r="K298" s="1"/>
  <c r="K297" s="1"/>
  <c r="K296" s="1"/>
  <c r="K295" s="1"/>
  <c r="K293"/>
  <c r="K292" s="1"/>
  <c r="K291" s="1"/>
  <c r="K285"/>
  <c r="K284" s="1"/>
  <c r="K283" s="1"/>
  <c r="K276"/>
  <c r="K273"/>
  <c r="K263"/>
  <c r="K262" s="1"/>
  <c r="K258"/>
  <c r="K257" s="1"/>
  <c r="K251"/>
  <c r="K250" s="1"/>
  <c r="K249" s="1"/>
  <c r="K248" s="1"/>
  <c r="K247" s="1"/>
  <c r="K246" s="1"/>
  <c r="K241"/>
  <c r="K240" s="1"/>
  <c r="K239" s="1"/>
  <c r="K238" s="1"/>
  <c r="K237" s="1"/>
  <c r="K236" s="1"/>
  <c r="K235"/>
  <c r="K233" s="1"/>
  <c r="K230"/>
  <c r="K226"/>
  <c r="K221"/>
  <c r="K220" s="1"/>
  <c r="K219"/>
  <c r="K218" s="1"/>
  <c r="K213"/>
  <c r="K212" s="1"/>
  <c r="K210"/>
  <c r="K205"/>
  <c r="K199"/>
  <c r="K198" s="1"/>
  <c r="K197" s="1"/>
  <c r="K194"/>
  <c r="K193"/>
  <c r="K192"/>
  <c r="K191"/>
  <c r="K189"/>
  <c r="K186" s="1"/>
  <c r="K184"/>
  <c r="K181" s="1"/>
  <c r="K175"/>
  <c r="K174"/>
  <c r="K173"/>
  <c r="K171"/>
  <c r="K163"/>
  <c r="K162" s="1"/>
  <c r="K161"/>
  <c r="K160" s="1"/>
  <c r="K152"/>
  <c r="K151" s="1"/>
  <c r="K150" s="1"/>
  <c r="K149" s="1"/>
  <c r="K145"/>
  <c r="K143"/>
  <c r="K134"/>
  <c r="K133" s="1"/>
  <c r="K131"/>
  <c r="K130" s="1"/>
  <c r="K122"/>
  <c r="K121" s="1"/>
  <c r="K120" s="1"/>
  <c r="K119" s="1"/>
  <c r="K118" s="1"/>
  <c r="K117" s="1"/>
  <c r="K114"/>
  <c r="K113" s="1"/>
  <c r="K112" s="1"/>
  <c r="K111" s="1"/>
  <c r="K110" s="1"/>
  <c r="K109" s="1"/>
  <c r="K105"/>
  <c r="K104" s="1"/>
  <c r="K103" s="1"/>
  <c r="K102" s="1"/>
  <c r="K101" s="1"/>
  <c r="K100" s="1"/>
  <c r="K97"/>
  <c r="K96" s="1"/>
  <c r="K95" s="1"/>
  <c r="K94" s="1"/>
  <c r="K88" s="1"/>
  <c r="K86"/>
  <c r="K85" s="1"/>
  <c r="K84" s="1"/>
  <c r="K83" s="1"/>
  <c r="K82" s="1"/>
  <c r="K80"/>
  <c r="K79" s="1"/>
  <c r="K77"/>
  <c r="K76" s="1"/>
  <c r="K69"/>
  <c r="K68" s="1"/>
  <c r="K67" s="1"/>
  <c r="K65"/>
  <c r="K64" s="1"/>
  <c r="K63" s="1"/>
  <c r="K59"/>
  <c r="K58" s="1"/>
  <c r="K57" s="1"/>
  <c r="K56" s="1"/>
  <c r="K55" s="1"/>
  <c r="K52"/>
  <c r="K51" s="1"/>
  <c r="K50" s="1"/>
  <c r="K49" s="1"/>
  <c r="K48" s="1"/>
  <c r="K47"/>
  <c r="K46" s="1"/>
  <c r="K45" s="1"/>
  <c r="K44" s="1"/>
  <c r="K43" s="1"/>
  <c r="K42" s="1"/>
  <c r="K40"/>
  <c r="K38"/>
  <c r="K37"/>
  <c r="K35" s="1"/>
  <c r="K33"/>
  <c r="K31"/>
  <c r="K28"/>
  <c r="K22"/>
  <c r="K21" s="1"/>
  <c r="K20" s="1"/>
  <c r="K19" s="1"/>
  <c r="K18" s="1"/>
  <c r="L591" i="3"/>
  <c r="M428" l="1"/>
  <c r="K334" i="19"/>
  <c r="K170"/>
  <c r="K169" s="1"/>
  <c r="K168" s="1"/>
  <c r="K167" s="1"/>
  <c r="K305"/>
  <c r="K304" s="1"/>
  <c r="K159"/>
  <c r="K158" s="1"/>
  <c r="K157" s="1"/>
  <c r="K156" s="1"/>
  <c r="K155" s="1"/>
  <c r="K204"/>
  <c r="K203" s="1"/>
  <c r="K202" s="1"/>
  <c r="K201" s="1"/>
  <c r="K282"/>
  <c r="K281" s="1"/>
  <c r="K280" s="1"/>
  <c r="K279" s="1"/>
  <c r="K256"/>
  <c r="K190"/>
  <c r="K180" s="1"/>
  <c r="K179" s="1"/>
  <c r="K178" s="1"/>
  <c r="K177" s="1"/>
  <c r="K272"/>
  <c r="K271" s="1"/>
  <c r="K270" s="1"/>
  <c r="K269" s="1"/>
  <c r="K355"/>
  <c r="K354" s="1"/>
  <c r="K353" s="1"/>
  <c r="K352" s="1"/>
  <c r="K75"/>
  <c r="K74" s="1"/>
  <c r="K73" s="1"/>
  <c r="K72" s="1"/>
  <c r="K108"/>
  <c r="K129"/>
  <c r="K128" s="1"/>
  <c r="K127" s="1"/>
  <c r="K126" s="1"/>
  <c r="K125" s="1"/>
  <c r="K142"/>
  <c r="K141" s="1"/>
  <c r="K140" s="1"/>
  <c r="K139" s="1"/>
  <c r="K138" s="1"/>
  <c r="K137" s="1"/>
  <c r="K217"/>
  <c r="K216" s="1"/>
  <c r="K215" s="1"/>
  <c r="K214" s="1"/>
  <c r="K225"/>
  <c r="K224" s="1"/>
  <c r="K223" s="1"/>
  <c r="K222" s="1"/>
  <c r="K347"/>
  <c r="K333" s="1"/>
  <c r="K332" s="1"/>
  <c r="K331" s="1"/>
  <c r="K27"/>
  <c r="K26" s="1"/>
  <c r="K25" s="1"/>
  <c r="K24" s="1"/>
  <c r="K17" s="1"/>
  <c r="K62"/>
  <c r="K61" s="1"/>
  <c r="K54" s="1"/>
  <c r="M146" i="3"/>
  <c r="M55"/>
  <c r="K255" i="19" l="1"/>
  <c r="K254" s="1"/>
  <c r="K253" s="1"/>
  <c r="K245" s="1"/>
  <c r="K330"/>
  <c r="K322" s="1"/>
  <c r="K166"/>
  <c r="K165" s="1"/>
  <c r="K16"/>
  <c r="M406" i="3"/>
  <c r="K15" i="19" l="1"/>
  <c r="M69" i="3"/>
  <c r="M534" l="1"/>
  <c r="M571"/>
  <c r="M570"/>
  <c r="M623" l="1"/>
  <c r="M630"/>
  <c r="M628" s="1"/>
  <c r="M592"/>
  <c r="M590" l="1"/>
  <c r="M448"/>
  <c r="M370"/>
  <c r="M401"/>
  <c r="M334" l="1"/>
  <c r="M267" l="1"/>
  <c r="M292"/>
  <c r="M291" s="1"/>
  <c r="M290" s="1"/>
  <c r="M598" l="1"/>
  <c r="M287"/>
  <c r="M298"/>
  <c r="M277"/>
  <c r="M274"/>
  <c r="M185"/>
  <c r="M74"/>
  <c r="M28"/>
  <c r="K674"/>
  <c r="K673" s="1"/>
  <c r="K671"/>
  <c r="K670" s="1"/>
  <c r="K668"/>
  <c r="K667" s="1"/>
  <c r="K662"/>
  <c r="K661" s="1"/>
  <c r="K659"/>
  <c r="K655"/>
  <c r="K652"/>
  <c r="K649"/>
  <c r="K646"/>
  <c r="K639"/>
  <c r="K638" s="1"/>
  <c r="K637" s="1"/>
  <c r="K636" s="1"/>
  <c r="K635" s="1"/>
  <c r="K634" s="1"/>
  <c r="K628"/>
  <c r="K627" s="1"/>
  <c r="K626" s="1"/>
  <c r="K625" s="1"/>
  <c r="K624" s="1"/>
  <c r="K623"/>
  <c r="K622" s="1"/>
  <c r="K619"/>
  <c r="K608"/>
  <c r="K607" s="1"/>
  <c r="K606" s="1"/>
  <c r="K605" s="1"/>
  <c r="K604" s="1"/>
  <c r="K732" s="1"/>
  <c r="K602"/>
  <c r="K601" s="1"/>
  <c r="K600" s="1"/>
  <c r="K598"/>
  <c r="K597" s="1"/>
  <c r="K596" s="1"/>
  <c r="K595" s="1"/>
  <c r="K592"/>
  <c r="K589"/>
  <c r="K588" s="1"/>
  <c r="K587"/>
  <c r="K586"/>
  <c r="K585"/>
  <c r="L585" s="1"/>
  <c r="K580"/>
  <c r="K579" s="1"/>
  <c r="K578" s="1"/>
  <c r="K571"/>
  <c r="K569" s="1"/>
  <c r="K567"/>
  <c r="K566"/>
  <c r="K562"/>
  <c r="K561" s="1"/>
  <c r="K560" s="1"/>
  <c r="K559" s="1"/>
  <c r="K556"/>
  <c r="K555" s="1"/>
  <c r="K554" s="1"/>
  <c r="K553" s="1"/>
  <c r="K552" s="1"/>
  <c r="K551"/>
  <c r="K550" s="1"/>
  <c r="K549"/>
  <c r="K548" s="1"/>
  <c r="K543"/>
  <c r="K542" s="1"/>
  <c r="K541" s="1"/>
  <c r="K539"/>
  <c r="K538"/>
  <c r="K537" s="1"/>
  <c r="K536"/>
  <c r="K535" s="1"/>
  <c r="K534"/>
  <c r="K533" s="1"/>
  <c r="K526"/>
  <c r="K525" s="1"/>
  <c r="K524" s="1"/>
  <c r="K523" s="1"/>
  <c r="K522" s="1"/>
  <c r="K520"/>
  <c r="K519" s="1"/>
  <c r="K518" s="1"/>
  <c r="K517" s="1"/>
  <c r="K516" s="1"/>
  <c r="K515"/>
  <c r="K514" s="1"/>
  <c r="K513"/>
  <c r="K512" s="1"/>
  <c r="K502"/>
  <c r="K501" s="1"/>
  <c r="K500" s="1"/>
  <c r="K499" s="1"/>
  <c r="K498" s="1"/>
  <c r="K496"/>
  <c r="K494" s="1"/>
  <c r="K491"/>
  <c r="K489" s="1"/>
  <c r="K487"/>
  <c r="K485" s="1"/>
  <c r="K481"/>
  <c r="K480" s="1"/>
  <c r="K479" s="1"/>
  <c r="K475"/>
  <c r="K472"/>
  <c r="K460"/>
  <c r="K459"/>
  <c r="K458" s="1"/>
  <c r="K456"/>
  <c r="K454"/>
  <c r="K453"/>
  <c r="K452" s="1"/>
  <c r="K451"/>
  <c r="K450"/>
  <c r="K448"/>
  <c r="K447" s="1"/>
  <c r="K446"/>
  <c r="K445"/>
  <c r="K444"/>
  <c r="K443"/>
  <c r="K437"/>
  <c r="K435" s="1"/>
  <c r="K434" s="1"/>
  <c r="K433" s="1"/>
  <c r="K423"/>
  <c r="K418"/>
  <c r="K417"/>
  <c r="K416"/>
  <c r="K415"/>
  <c r="K413"/>
  <c r="K410" s="1"/>
  <c r="K408"/>
  <c r="K407"/>
  <c r="K406"/>
  <c r="K405"/>
  <c r="K404"/>
  <c r="K402"/>
  <c r="K401"/>
  <c r="K399"/>
  <c r="K397" s="1"/>
  <c r="K396"/>
  <c r="K395"/>
  <c r="K394"/>
  <c r="K387"/>
  <c r="K386" s="1"/>
  <c r="K385" s="1"/>
  <c r="K384" s="1"/>
  <c r="K383" s="1"/>
  <c r="K382"/>
  <c r="K381" s="1"/>
  <c r="K378"/>
  <c r="K377" s="1"/>
  <c r="K376"/>
  <c r="K375" s="1"/>
  <c r="K373"/>
  <c r="K372"/>
  <c r="K371" s="1"/>
  <c r="K370"/>
  <c r="K369" s="1"/>
  <c r="K368"/>
  <c r="K367" s="1"/>
  <c r="K359"/>
  <c r="K358" s="1"/>
  <c r="K357"/>
  <c r="K356" s="1"/>
  <c r="K350"/>
  <c r="K349" s="1"/>
  <c r="K346" s="1"/>
  <c r="K340"/>
  <c r="K339" s="1"/>
  <c r="K338" s="1"/>
  <c r="K337" s="1"/>
  <c r="K336" s="1"/>
  <c r="K719" s="1"/>
  <c r="K722" s="1"/>
  <c r="K333"/>
  <c r="K332" s="1"/>
  <c r="K331" s="1"/>
  <c r="K330" s="1"/>
  <c r="K329" s="1"/>
  <c r="K328"/>
  <c r="K327" s="1"/>
  <c r="K326" s="1"/>
  <c r="K325" s="1"/>
  <c r="K324" s="1"/>
  <c r="K323" s="1"/>
  <c r="K321"/>
  <c r="K320" s="1"/>
  <c r="K319"/>
  <c r="K318" s="1"/>
  <c r="K313"/>
  <c r="K312" s="1"/>
  <c r="K311" s="1"/>
  <c r="K310" s="1"/>
  <c r="K307"/>
  <c r="K306" s="1"/>
  <c r="K305" s="1"/>
  <c r="K304" s="1"/>
  <c r="K303" s="1"/>
  <c r="K302" s="1"/>
  <c r="K301" s="1"/>
  <c r="K299"/>
  <c r="K298"/>
  <c r="K287"/>
  <c r="K286" s="1"/>
  <c r="K285" s="1"/>
  <c r="K283"/>
  <c r="K282" s="1"/>
  <c r="K281"/>
  <c r="K280" s="1"/>
  <c r="K276"/>
  <c r="K274"/>
  <c r="K272" s="1"/>
  <c r="K267"/>
  <c r="K266"/>
  <c r="K263"/>
  <c r="K262" s="1"/>
  <c r="K261" s="1"/>
  <c r="K253"/>
  <c r="K252" s="1"/>
  <c r="K250"/>
  <c r="K249"/>
  <c r="K245"/>
  <c r="K244" s="1"/>
  <c r="K236"/>
  <c r="K235" s="1"/>
  <c r="K234" s="1"/>
  <c r="K233" s="1"/>
  <c r="K232" s="1"/>
  <c r="K739" s="1"/>
  <c r="K230"/>
  <c r="K229" s="1"/>
  <c r="K228" s="1"/>
  <c r="K227" s="1"/>
  <c r="K226" s="1"/>
  <c r="K224"/>
  <c r="K223" s="1"/>
  <c r="K222" s="1"/>
  <c r="K221" s="1"/>
  <c r="K220" s="1"/>
  <c r="K219" s="1"/>
  <c r="K217"/>
  <c r="K216" s="1"/>
  <c r="K214"/>
  <c r="K213"/>
  <c r="K203"/>
  <c r="K202" s="1"/>
  <c r="K201" s="1"/>
  <c r="K200" s="1"/>
  <c r="K199" s="1"/>
  <c r="K198" s="1"/>
  <c r="K740" s="1"/>
  <c r="K197"/>
  <c r="K196" s="1"/>
  <c r="K195" s="1"/>
  <c r="K194" s="1"/>
  <c r="K193" s="1"/>
  <c r="K192" s="1"/>
  <c r="K190"/>
  <c r="K189" s="1"/>
  <c r="K188" s="1"/>
  <c r="K187" s="1"/>
  <c r="K186" s="1"/>
  <c r="K185"/>
  <c r="K184" s="1"/>
  <c r="K183" s="1"/>
  <c r="K182" s="1"/>
  <c r="K181" s="1"/>
  <c r="K178"/>
  <c r="K177" s="1"/>
  <c r="K176" s="1"/>
  <c r="K175" s="1"/>
  <c r="K174" s="1"/>
  <c r="K724" s="1"/>
  <c r="K172"/>
  <c r="K171" s="1"/>
  <c r="K170" s="1"/>
  <c r="K169" s="1"/>
  <c r="K168" s="1"/>
  <c r="K167" s="1"/>
  <c r="K166"/>
  <c r="K165" s="1"/>
  <c r="K164" s="1"/>
  <c r="K163" s="1"/>
  <c r="K162" s="1"/>
  <c r="K161" s="1"/>
  <c r="K159"/>
  <c r="K158" s="1"/>
  <c r="K156"/>
  <c r="K152"/>
  <c r="K147"/>
  <c r="K146"/>
  <c r="K145" s="1"/>
  <c r="K141"/>
  <c r="K140" s="1"/>
  <c r="K139" s="1"/>
  <c r="K138" s="1"/>
  <c r="K136"/>
  <c r="K135" s="1"/>
  <c r="K134" s="1"/>
  <c r="K130"/>
  <c r="K129"/>
  <c r="K128" s="1"/>
  <c r="K123"/>
  <c r="K122" s="1"/>
  <c r="K121" s="1"/>
  <c r="K120"/>
  <c r="K119" s="1"/>
  <c r="K118" s="1"/>
  <c r="K112"/>
  <c r="K111" s="1"/>
  <c r="K110" s="1"/>
  <c r="K109"/>
  <c r="K108" s="1"/>
  <c r="K107" s="1"/>
  <c r="K105"/>
  <c r="K104"/>
  <c r="K100"/>
  <c r="K99" s="1"/>
  <c r="K98" s="1"/>
  <c r="K97"/>
  <c r="K96" s="1"/>
  <c r="K94"/>
  <c r="K89"/>
  <c r="K88" s="1"/>
  <c r="K87"/>
  <c r="K86" s="1"/>
  <c r="K84"/>
  <c r="K82"/>
  <c r="K81"/>
  <c r="K80" s="1"/>
  <c r="K74"/>
  <c r="K73" s="1"/>
  <c r="K71"/>
  <c r="K69"/>
  <c r="K68" s="1"/>
  <c r="K67" s="1"/>
  <c r="K66"/>
  <c r="K65" s="1"/>
  <c r="K64" s="1"/>
  <c r="K60"/>
  <c r="K59" s="1"/>
  <c r="K58" s="1"/>
  <c r="K57" s="1"/>
  <c r="K55"/>
  <c r="K54" s="1"/>
  <c r="K53" s="1"/>
  <c r="K52" s="1"/>
  <c r="K51" s="1"/>
  <c r="K50" s="1"/>
  <c r="K688" s="1"/>
  <c r="K49"/>
  <c r="K48" s="1"/>
  <c r="K47" s="1"/>
  <c r="K46" s="1"/>
  <c r="K45" s="1"/>
  <c r="K44" s="1"/>
  <c r="K685" s="1"/>
  <c r="K43"/>
  <c r="K42" s="1"/>
  <c r="K41" s="1"/>
  <c r="K39"/>
  <c r="K37"/>
  <c r="K36"/>
  <c r="K34" s="1"/>
  <c r="K32"/>
  <c r="K30"/>
  <c r="K29"/>
  <c r="K28"/>
  <c r="K27"/>
  <c r="K20"/>
  <c r="K19" s="1"/>
  <c r="K18" s="1"/>
  <c r="K17" s="1"/>
  <c r="K16" s="1"/>
  <c r="K366" l="1"/>
  <c r="K590"/>
  <c r="L592"/>
  <c r="K297"/>
  <c r="K296" s="1"/>
  <c r="K295" s="1"/>
  <c r="K294" s="1"/>
  <c r="K365"/>
  <c r="K364" s="1"/>
  <c r="K363" s="1"/>
  <c r="K706" s="1"/>
  <c r="K26"/>
  <c r="K25" s="1"/>
  <c r="K24" s="1"/>
  <c r="K23" s="1"/>
  <c r="K22" s="1"/>
  <c r="K684" s="1"/>
  <c r="K212"/>
  <c r="K211" s="1"/>
  <c r="K210" s="1"/>
  <c r="K209" s="1"/>
  <c r="K208" s="1"/>
  <c r="K207" s="1"/>
  <c r="K400"/>
  <c r="K403"/>
  <c r="K449"/>
  <c r="K584"/>
  <c r="K103"/>
  <c r="K102" s="1"/>
  <c r="K265"/>
  <c r="K392"/>
  <c r="K414"/>
  <c r="K565"/>
  <c r="K322"/>
  <c r="K645"/>
  <c r="K532"/>
  <c r="K531" s="1"/>
  <c r="K144"/>
  <c r="K143" s="1"/>
  <c r="K142" s="1"/>
  <c r="K79"/>
  <c r="K78" s="1"/>
  <c r="K77" s="1"/>
  <c r="K76" s="1"/>
  <c r="K692" s="1"/>
  <c r="K127"/>
  <c r="K126" s="1"/>
  <c r="K125" s="1"/>
  <c r="K124" s="1"/>
  <c r="K697" s="1"/>
  <c r="K511"/>
  <c r="K510" s="1"/>
  <c r="K509" s="1"/>
  <c r="K508" s="1"/>
  <c r="K507" s="1"/>
  <c r="K271"/>
  <c r="K270" s="1"/>
  <c r="K355"/>
  <c r="K354" s="1"/>
  <c r="K353" s="1"/>
  <c r="K352" s="1"/>
  <c r="K351" s="1"/>
  <c r="K547"/>
  <c r="K546" s="1"/>
  <c r="K594"/>
  <c r="K593" s="1"/>
  <c r="K731" s="1"/>
  <c r="K70"/>
  <c r="K63" s="1"/>
  <c r="K62" s="1"/>
  <c r="K56" s="1"/>
  <c r="K133"/>
  <c r="K93"/>
  <c r="K92" s="1"/>
  <c r="K471"/>
  <c r="K470" s="1"/>
  <c r="K469" s="1"/>
  <c r="K468" s="1"/>
  <c r="K618"/>
  <c r="K617" s="1"/>
  <c r="K616" s="1"/>
  <c r="K615" s="1"/>
  <c r="K614" s="1"/>
  <c r="K613" s="1"/>
  <c r="K484"/>
  <c r="K483" s="1"/>
  <c r="K478" s="1"/>
  <c r="K477" s="1"/>
  <c r="K564"/>
  <c r="K563" s="1"/>
  <c r="K558" s="1"/>
  <c r="K557" s="1"/>
  <c r="K715" s="1"/>
  <c r="K683"/>
  <c r="K160"/>
  <c r="K703"/>
  <c r="K738"/>
  <c r="K741" s="1"/>
  <c r="K225"/>
  <c r="K101"/>
  <c r="K117"/>
  <c r="K116" s="1"/>
  <c r="K115" s="1"/>
  <c r="K180"/>
  <c r="K497"/>
  <c r="K735"/>
  <c r="K736" s="1"/>
  <c r="K191"/>
  <c r="K317"/>
  <c r="K316" s="1"/>
  <c r="K315" s="1"/>
  <c r="K309" s="1"/>
  <c r="K335"/>
  <c r="K345"/>
  <c r="K344" s="1"/>
  <c r="K343" s="1"/>
  <c r="K342" s="1"/>
  <c r="K442"/>
  <c r="K666"/>
  <c r="K665" s="1"/>
  <c r="K664" s="1"/>
  <c r="K663" s="1"/>
  <c r="K746" s="1"/>
  <c r="K151"/>
  <c r="K150" s="1"/>
  <c r="K149" s="1"/>
  <c r="K248"/>
  <c r="K247" s="1"/>
  <c r="K243" s="1"/>
  <c r="K242" s="1"/>
  <c r="K241" s="1"/>
  <c r="K240" s="1"/>
  <c r="K239" s="1"/>
  <c r="K658"/>
  <c r="K711" l="1"/>
  <c r="K441"/>
  <c r="K440" s="1"/>
  <c r="K439" s="1"/>
  <c r="K438" s="1"/>
  <c r="K708" s="1"/>
  <c r="K583"/>
  <c r="K582" s="1"/>
  <c r="K577" s="1"/>
  <c r="K576" s="1"/>
  <c r="K575" s="1"/>
  <c r="K574" s="1"/>
  <c r="K391"/>
  <c r="K390" s="1"/>
  <c r="K389" s="1"/>
  <c r="K388" s="1"/>
  <c r="K707" s="1"/>
  <c r="K530"/>
  <c r="K529" s="1"/>
  <c r="K714" s="1"/>
  <c r="K716" s="1"/>
  <c r="K264"/>
  <c r="K260" s="1"/>
  <c r="K259" s="1"/>
  <c r="K258" s="1"/>
  <c r="K257" s="1"/>
  <c r="K644"/>
  <c r="K643" s="1"/>
  <c r="K642" s="1"/>
  <c r="K641" s="1"/>
  <c r="K633" s="1"/>
  <c r="K91"/>
  <c r="K90" s="1"/>
  <c r="K693" s="1"/>
  <c r="K694" s="1"/>
  <c r="K132"/>
  <c r="K698" s="1"/>
  <c r="K710"/>
  <c r="K696"/>
  <c r="K686"/>
  <c r="K206"/>
  <c r="K727"/>
  <c r="K173"/>
  <c r="K702"/>
  <c r="K704" s="1"/>
  <c r="K308"/>
  <c r="K15"/>
  <c r="M556"/>
  <c r="H411" i="7" s="1"/>
  <c r="K730" i="3" l="1"/>
  <c r="K733" s="1"/>
  <c r="M555"/>
  <c r="M554" s="1"/>
  <c r="M553" s="1"/>
  <c r="M552" s="1"/>
  <c r="K362"/>
  <c r="K361" s="1"/>
  <c r="L556"/>
  <c r="L555" s="1"/>
  <c r="L554" s="1"/>
  <c r="L553" s="1"/>
  <c r="L552" s="1"/>
  <c r="K712"/>
  <c r="K726"/>
  <c r="K728" s="1"/>
  <c r="K699"/>
  <c r="K528"/>
  <c r="K506" s="1"/>
  <c r="K75"/>
  <c r="K114"/>
  <c r="K689"/>
  <c r="K690" s="1"/>
  <c r="K256"/>
  <c r="K14" l="1"/>
  <c r="K13" s="1"/>
  <c r="K743"/>
  <c r="K745"/>
  <c r="K744" l="1"/>
  <c r="K748"/>
  <c r="H245" i="7"/>
  <c r="H244" s="1"/>
  <c r="M437" i="3" l="1"/>
  <c r="H125" i="7"/>
  <c r="L436" i="3" l="1"/>
  <c r="M435"/>
  <c r="L437" l="1"/>
  <c r="L435" s="1"/>
  <c r="I112" i="18"/>
  <c r="H115"/>
  <c r="H114" s="1"/>
  <c r="H113" s="1"/>
  <c r="H112" s="1"/>
  <c r="M293" i="19"/>
  <c r="M292" s="1"/>
  <c r="M291" s="1"/>
  <c r="L294"/>
  <c r="H70" i="7"/>
  <c r="H69" s="1"/>
  <c r="M382" i="3"/>
  <c r="H36" i="7" s="1"/>
  <c r="H35" s="1"/>
  <c r="M423" i="3"/>
  <c r="L424"/>
  <c r="L367" i="19" l="1"/>
  <c r="M381" i="3"/>
  <c r="L382"/>
  <c r="L381" s="1"/>
  <c r="L293" i="19"/>
  <c r="L291"/>
  <c r="L292"/>
  <c r="L423" i="3"/>
  <c r="C17" i="5" l="1"/>
  <c r="C15"/>
  <c r="E26" i="4" l="1"/>
  <c r="E24"/>
  <c r="E23"/>
  <c r="E21"/>
  <c r="E20"/>
  <c r="E19"/>
  <c r="E18"/>
  <c r="E17"/>
  <c r="E15"/>
  <c r="M66" i="3"/>
  <c r="H500" i="7"/>
  <c r="H499" s="1"/>
  <c r="H71"/>
  <c r="M404" i="3"/>
  <c r="M307"/>
  <c r="L204"/>
  <c r="L203" s="1"/>
  <c r="L202" s="1"/>
  <c r="L201" s="1"/>
  <c r="L200" s="1"/>
  <c r="L199" s="1"/>
  <c r="L198" s="1"/>
  <c r="L740" s="1"/>
  <c r="L55"/>
  <c r="M203" l="1"/>
  <c r="M202" s="1"/>
  <c r="M201" s="1"/>
  <c r="M200" s="1"/>
  <c r="M199" s="1"/>
  <c r="M198" s="1"/>
  <c r="M740" s="1"/>
  <c r="D57" i="6" s="1"/>
  <c r="M446" i="3"/>
  <c r="M444"/>
  <c r="C22" i="2" l="1"/>
  <c r="M27" i="3"/>
  <c r="C19" i="2"/>
  <c r="M166" i="3" l="1"/>
  <c r="M319"/>
  <c r="M100" l="1"/>
  <c r="M328"/>
  <c r="C34" i="2"/>
  <c r="M89" i="3"/>
  <c r="M236"/>
  <c r="M266" l="1"/>
  <c r="M219" i="19" l="1"/>
  <c r="N219"/>
  <c r="I188" i="18"/>
  <c r="I187" s="1"/>
  <c r="N160" i="19" l="1"/>
  <c r="L161"/>
  <c r="L160" s="1"/>
  <c r="H188" i="18"/>
  <c r="H187" s="1"/>
  <c r="M160" i="19"/>
  <c r="E14" i="4" l="1"/>
  <c r="B13" i="21" l="1"/>
  <c r="L237" i="3"/>
  <c r="L231"/>
  <c r="M235"/>
  <c r="M234" s="1"/>
  <c r="M233" s="1"/>
  <c r="M232" s="1"/>
  <c r="M739" l="1"/>
  <c r="D56" i="6" s="1"/>
  <c r="L236" i="3"/>
  <c r="L235" s="1"/>
  <c r="L234" s="1"/>
  <c r="L233" s="1"/>
  <c r="L232" s="1"/>
  <c r="L739" s="1"/>
  <c r="C16" i="27"/>
  <c r="M105" i="3" l="1"/>
  <c r="M29"/>
  <c r="H241" i="7"/>
  <c r="H240" s="1"/>
  <c r="I251" i="18" l="1"/>
  <c r="I250" s="1"/>
  <c r="I249" s="1"/>
  <c r="H251"/>
  <c r="H250" s="1"/>
  <c r="H249" s="1"/>
  <c r="H395" i="7"/>
  <c r="H394" s="1"/>
  <c r="B14" i="9"/>
  <c r="C21" i="2"/>
  <c r="C37" i="5"/>
  <c r="M321" i="3"/>
  <c r="H374" i="7" s="1"/>
  <c r="H373" s="1"/>
  <c r="L131" i="3"/>
  <c r="L130" s="1"/>
  <c r="M129"/>
  <c r="M130"/>
  <c r="L321" l="1"/>
  <c r="L320" s="1"/>
  <c r="M320"/>
  <c r="M452"/>
  <c r="H203" i="7" l="1"/>
  <c r="H201" s="1"/>
  <c r="L590" i="3"/>
  <c r="C71" i="2"/>
  <c r="C16"/>
  <c r="N427" i="19" l="1"/>
  <c r="K427"/>
  <c r="M549" i="3" l="1"/>
  <c r="H44" i="7" l="1"/>
  <c r="H19"/>
  <c r="M230" i="3" l="1"/>
  <c r="M229" s="1"/>
  <c r="C16" i="15" l="1"/>
  <c r="E47" i="17"/>
  <c r="E46" s="1"/>
  <c r="M397" i="3" l="1"/>
  <c r="L398"/>
  <c r="M105" i="19" l="1"/>
  <c r="M104" s="1"/>
  <c r="L106"/>
  <c r="N184"/>
  <c r="M184"/>
  <c r="N221"/>
  <c r="M221"/>
  <c r="K433"/>
  <c r="M562" i="3"/>
  <c r="M220" i="19" l="1"/>
  <c r="L220" s="1"/>
  <c r="H71" i="18"/>
  <c r="H70" s="1"/>
  <c r="H69" s="1"/>
  <c r="N220" i="19"/>
  <c r="I71" i="18"/>
  <c r="I70" s="1"/>
  <c r="I69" s="1"/>
  <c r="L219" i="19"/>
  <c r="L218" s="1"/>
  <c r="M218"/>
  <c r="N218"/>
  <c r="L105"/>
  <c r="M103"/>
  <c r="L104"/>
  <c r="L221"/>
  <c r="K438"/>
  <c r="M551" i="3"/>
  <c r="L551" s="1"/>
  <c r="L217" i="19" l="1"/>
  <c r="L216" s="1"/>
  <c r="L215" s="1"/>
  <c r="L214" s="1"/>
  <c r="M550" i="3"/>
  <c r="L550" s="1"/>
  <c r="H167" i="7"/>
  <c r="H166" s="1"/>
  <c r="L103" i="19"/>
  <c r="M102"/>
  <c r="M197" i="3"/>
  <c r="L197" s="1"/>
  <c r="L196" s="1"/>
  <c r="H470" i="7"/>
  <c r="H469" s="1"/>
  <c r="M43" i="3"/>
  <c r="M109"/>
  <c r="L109" s="1"/>
  <c r="M104"/>
  <c r="L104" s="1"/>
  <c r="M190"/>
  <c r="L29"/>
  <c r="M81"/>
  <c r="H276" i="7"/>
  <c r="H275" s="1"/>
  <c r="H467"/>
  <c r="L157" i="3"/>
  <c r="M156"/>
  <c r="M214"/>
  <c r="M224"/>
  <c r="L224" s="1"/>
  <c r="L275"/>
  <c r="L273"/>
  <c r="M569"/>
  <c r="M101" i="19" l="1"/>
  <c r="L102"/>
  <c r="K374"/>
  <c r="M108" i="3"/>
  <c r="M107" s="1"/>
  <c r="L107" s="1"/>
  <c r="H259" i="7"/>
  <c r="H258" s="1"/>
  <c r="H257" s="1"/>
  <c r="L156" i="3"/>
  <c r="L527"/>
  <c r="L549"/>
  <c r="L568"/>
  <c r="L570"/>
  <c r="L545"/>
  <c r="L544"/>
  <c r="L540"/>
  <c r="L521"/>
  <c r="L567"/>
  <c r="C18" i="2"/>
  <c r="C15" s="1"/>
  <c r="L108" i="3" l="1"/>
  <c r="C33" i="5"/>
  <c r="D47" i="17"/>
  <c r="D46" s="1"/>
  <c r="L101" i="19"/>
  <c r="M100"/>
  <c r="L539" i="3"/>
  <c r="L548"/>
  <c r="L547" s="1"/>
  <c r="L526"/>
  <c r="L525" s="1"/>
  <c r="L524" s="1"/>
  <c r="L523" s="1"/>
  <c r="L522" s="1"/>
  <c r="L520"/>
  <c r="L519" s="1"/>
  <c r="L518" s="1"/>
  <c r="L517" s="1"/>
  <c r="L516" s="1"/>
  <c r="L572"/>
  <c r="M566"/>
  <c r="L515"/>
  <c r="L514" s="1"/>
  <c r="L571"/>
  <c r="L598"/>
  <c r="L534"/>
  <c r="L533" s="1"/>
  <c r="L513"/>
  <c r="L512" s="1"/>
  <c r="L407"/>
  <c r="L406"/>
  <c r="L370"/>
  <c r="L230"/>
  <c r="L190"/>
  <c r="L28"/>
  <c r="L100" i="19" l="1"/>
  <c r="L427" s="1"/>
  <c r="M427"/>
  <c r="L586" i="3"/>
  <c r="L399"/>
  <c r="L397" s="1"/>
  <c r="L511"/>
  <c r="L510" s="1"/>
  <c r="L509" s="1"/>
  <c r="L508" s="1"/>
  <c r="L507" s="1"/>
  <c r="L266"/>
  <c r="L287"/>
  <c r="L286" s="1"/>
  <c r="L285" s="1"/>
  <c r="L566"/>
  <c r="L565" s="1"/>
  <c r="L81"/>
  <c r="L105"/>
  <c r="L274"/>
  <c r="L272" s="1"/>
  <c r="L562"/>
  <c r="L561" s="1"/>
  <c r="L560" s="1"/>
  <c r="L559" s="1"/>
  <c r="L546"/>
  <c r="L569"/>
  <c r="L229" l="1"/>
  <c r="L564"/>
  <c r="L563" s="1"/>
  <c r="C25" i="2"/>
  <c r="H106" i="7"/>
  <c r="H76"/>
  <c r="H75" s="1"/>
  <c r="H74" s="1"/>
  <c r="L314" i="3"/>
  <c r="L307"/>
  <c r="M357"/>
  <c r="M359"/>
  <c r="H209" i="7" s="1"/>
  <c r="H208" s="1"/>
  <c r="M313" i="3"/>
  <c r="M312" s="1"/>
  <c r="M311" s="1"/>
  <c r="M310" s="1"/>
  <c r="M263"/>
  <c r="H288" i="7" s="1"/>
  <c r="L466" i="3"/>
  <c r="L467"/>
  <c r="L453"/>
  <c r="L452" s="1"/>
  <c r="L429"/>
  <c r="L428" s="1"/>
  <c r="L430"/>
  <c r="L409"/>
  <c r="L558" l="1"/>
  <c r="L557" s="1"/>
  <c r="L27"/>
  <c r="M26"/>
  <c r="M358"/>
  <c r="L359"/>
  <c r="L358" s="1"/>
  <c r="L310"/>
  <c r="L313"/>
  <c r="L311"/>
  <c r="L312"/>
  <c r="M589"/>
  <c r="H119" i="7" l="1"/>
  <c r="M405" i="3" l="1"/>
  <c r="L405" s="1"/>
  <c r="M387"/>
  <c r="C73" i="2" l="1"/>
  <c r="D56" i="16"/>
  <c r="C56"/>
  <c r="C50" i="2"/>
  <c r="C52" l="1"/>
  <c r="C53"/>
  <c r="M496" i="3"/>
  <c r="M417"/>
  <c r="M416"/>
  <c r="M378"/>
  <c r="H294" i="7" l="1"/>
  <c r="L267" i="3"/>
  <c r="L265" s="1"/>
  <c r="L264" s="1"/>
  <c r="H207" i="7" l="1"/>
  <c r="H206" s="1"/>
  <c r="H205" s="1"/>
  <c r="H23"/>
  <c r="H22" s="1"/>
  <c r="M281" i="3"/>
  <c r="M356"/>
  <c r="M355" s="1"/>
  <c r="M354" s="1"/>
  <c r="L357"/>
  <c r="M327"/>
  <c r="M326" s="1"/>
  <c r="L328"/>
  <c r="L327" l="1"/>
  <c r="L356"/>
  <c r="L355" s="1"/>
  <c r="L354" s="1"/>
  <c r="M325"/>
  <c r="L326"/>
  <c r="M353" l="1"/>
  <c r="M352" s="1"/>
  <c r="L325"/>
  <c r="M324"/>
  <c r="M351" l="1"/>
  <c r="L351" s="1"/>
  <c r="L352"/>
  <c r="L353"/>
  <c r="M323"/>
  <c r="L323" s="1"/>
  <c r="L324"/>
  <c r="C27" i="2"/>
  <c r="N163" i="19" l="1"/>
  <c r="M163"/>
  <c r="C61" i="2"/>
  <c r="C55"/>
  <c r="C48"/>
  <c r="C47"/>
  <c r="H263" i="7" l="1"/>
  <c r="H262" s="1"/>
  <c r="H261" s="1"/>
  <c r="H260" s="1"/>
  <c r="H152"/>
  <c r="H151" s="1"/>
  <c r="M249" i="3"/>
  <c r="M250"/>
  <c r="M299"/>
  <c r="L113" l="1"/>
  <c r="L112" s="1"/>
  <c r="L111" s="1"/>
  <c r="L110" s="1"/>
  <c r="M112"/>
  <c r="M111" s="1"/>
  <c r="M110" s="1"/>
  <c r="L89"/>
  <c r="L88" s="1"/>
  <c r="M88"/>
  <c r="M120"/>
  <c r="M123"/>
  <c r="M539"/>
  <c r="M536"/>
  <c r="L536" s="1"/>
  <c r="L535" s="1"/>
  <c r="M350"/>
  <c r="M662"/>
  <c r="K428" i="19" l="1"/>
  <c r="K414"/>
  <c r="K396"/>
  <c r="K424"/>
  <c r="K390"/>
  <c r="K389"/>
  <c r="K384"/>
  <c r="K380"/>
  <c r="K378"/>
  <c r="K399" l="1"/>
  <c r="K406"/>
  <c r="K419"/>
  <c r="K398"/>
  <c r="K400"/>
  <c r="K403"/>
  <c r="K407"/>
  <c r="K376"/>
  <c r="K377"/>
  <c r="K388"/>
  <c r="K391" s="1"/>
  <c r="K430"/>
  <c r="K431" s="1"/>
  <c r="K422"/>
  <c r="K425" s="1"/>
  <c r="K402"/>
  <c r="K408" l="1"/>
  <c r="K381"/>
  <c r="K379"/>
  <c r="K404"/>
  <c r="K385"/>
  <c r="K386" s="1"/>
  <c r="H51" i="7"/>
  <c r="L319" i="3"/>
  <c r="K382" i="19" l="1"/>
  <c r="K418"/>
  <c r="K420" s="1"/>
  <c r="C23" i="5"/>
  <c r="K437" i="19" l="1"/>
  <c r="K435"/>
  <c r="K436" s="1"/>
  <c r="M213" i="3"/>
  <c r="K442" i="19" l="1"/>
  <c r="H52" i="7"/>
  <c r="L334" i="3"/>
  <c r="L333" s="1"/>
  <c r="L332" s="1"/>
  <c r="L331" s="1"/>
  <c r="L330" s="1"/>
  <c r="L329" s="1"/>
  <c r="L322" s="1"/>
  <c r="M333"/>
  <c r="M332" s="1"/>
  <c r="M331" s="1"/>
  <c r="M330" s="1"/>
  <c r="M329" s="1"/>
  <c r="M322" s="1"/>
  <c r="H130" i="7"/>
  <c r="H129"/>
  <c r="M472" i="3"/>
  <c r="L474"/>
  <c r="L473"/>
  <c r="H160" i="7"/>
  <c r="H159" s="1"/>
  <c r="H158" s="1"/>
  <c r="L472" i="3" l="1"/>
  <c r="H128" i="7"/>
  <c r="M520" i="3" l="1"/>
  <c r="M519" l="1"/>
  <c r="I190" i="18"/>
  <c r="I189" s="1"/>
  <c r="H190"/>
  <c r="H189" s="1"/>
  <c r="N162" i="19"/>
  <c r="N159" s="1"/>
  <c r="L163"/>
  <c r="L162" s="1"/>
  <c r="L159" s="1"/>
  <c r="M162"/>
  <c r="M159" s="1"/>
  <c r="L364"/>
  <c r="L361"/>
  <c r="L358"/>
  <c r="L351"/>
  <c r="L349"/>
  <c r="L346"/>
  <c r="L345"/>
  <c r="L343"/>
  <c r="L342"/>
  <c r="L340"/>
  <c r="L339"/>
  <c r="L337"/>
  <c r="L336"/>
  <c r="L329"/>
  <c r="L320"/>
  <c r="L319"/>
  <c r="L318"/>
  <c r="L312"/>
  <c r="L311"/>
  <c r="L302"/>
  <c r="L301"/>
  <c r="L300"/>
  <c r="L288"/>
  <c r="L287"/>
  <c r="L286"/>
  <c r="L277"/>
  <c r="L275"/>
  <c r="L274"/>
  <c r="L264"/>
  <c r="L259"/>
  <c r="L252"/>
  <c r="L243"/>
  <c r="L242"/>
  <c r="L234"/>
  <c r="L232"/>
  <c r="L231"/>
  <c r="L229"/>
  <c r="L228"/>
  <c r="L227"/>
  <c r="L211"/>
  <c r="L209"/>
  <c r="L208"/>
  <c r="L207"/>
  <c r="L206"/>
  <c r="L200"/>
  <c r="L196"/>
  <c r="L195"/>
  <c r="L188"/>
  <c r="L187"/>
  <c r="L185"/>
  <c r="L184"/>
  <c r="L183"/>
  <c r="L182"/>
  <c r="L176"/>
  <c r="L172"/>
  <c r="L154"/>
  <c r="L153"/>
  <c r="L148"/>
  <c r="L147"/>
  <c r="L146"/>
  <c r="L144"/>
  <c r="L135"/>
  <c r="L132"/>
  <c r="L123"/>
  <c r="L116"/>
  <c r="L115"/>
  <c r="L99"/>
  <c r="L98"/>
  <c r="L87"/>
  <c r="L81"/>
  <c r="L78"/>
  <c r="L71"/>
  <c r="L70"/>
  <c r="L66"/>
  <c r="L60"/>
  <c r="L53"/>
  <c r="L41"/>
  <c r="L39"/>
  <c r="L36"/>
  <c r="L34"/>
  <c r="L32"/>
  <c r="L30"/>
  <c r="L29"/>
  <c r="L23"/>
  <c r="L285" l="1"/>
  <c r="L284" s="1"/>
  <c r="M518" i="3"/>
  <c r="H350" i="7"/>
  <c r="H349" s="1"/>
  <c r="H100"/>
  <c r="H99" s="1"/>
  <c r="H92"/>
  <c r="H91" s="1"/>
  <c r="H87"/>
  <c r="H86" s="1"/>
  <c r="M349" i="3"/>
  <c r="M346" s="1"/>
  <c r="L350"/>
  <c r="L349" s="1"/>
  <c r="L346" s="1"/>
  <c r="M517" l="1"/>
  <c r="M460"/>
  <c r="L461"/>
  <c r="M538"/>
  <c r="L538" s="1"/>
  <c r="L537" s="1"/>
  <c r="L532" s="1"/>
  <c r="C19" i="4"/>
  <c r="M516" i="3" l="1"/>
  <c r="L460"/>
  <c r="M447"/>
  <c r="L448"/>
  <c r="L447" l="1"/>
  <c r="M369"/>
  <c r="H18" i="7"/>
  <c r="H45"/>
  <c r="H43" s="1"/>
  <c r="L369" i="3"/>
  <c r="H432" i="7"/>
  <c r="H431" s="1"/>
  <c r="L66" i="3"/>
  <c r="L65" s="1"/>
  <c r="L64" s="1"/>
  <c r="M65"/>
  <c r="M64" s="1"/>
  <c r="M491" l="1"/>
  <c r="M489" s="1"/>
  <c r="M487"/>
  <c r="M265" l="1"/>
  <c r="M264" s="1"/>
  <c r="H293" i="7"/>
  <c r="L675" i="3"/>
  <c r="L672"/>
  <c r="L669"/>
  <c r="L662"/>
  <c r="L661" s="1"/>
  <c r="L660"/>
  <c r="L659" s="1"/>
  <c r="L657"/>
  <c r="L656"/>
  <c r="L654"/>
  <c r="L653"/>
  <c r="L651"/>
  <c r="L650"/>
  <c r="L648"/>
  <c r="L647"/>
  <c r="L640"/>
  <c r="L639" s="1"/>
  <c r="L638" s="1"/>
  <c r="L637" s="1"/>
  <c r="L636" s="1"/>
  <c r="L635" s="1"/>
  <c r="L634" s="1"/>
  <c r="L631"/>
  <c r="L630"/>
  <c r="L629"/>
  <c r="L623"/>
  <c r="L622" s="1"/>
  <c r="L621"/>
  <c r="L620"/>
  <c r="L611"/>
  <c r="L610"/>
  <c r="L609"/>
  <c r="L603"/>
  <c r="L602" s="1"/>
  <c r="L601" s="1"/>
  <c r="L600" s="1"/>
  <c r="L599"/>
  <c r="L597" s="1"/>
  <c r="L596" s="1"/>
  <c r="L595" s="1"/>
  <c r="L594" s="1"/>
  <c r="L593" s="1"/>
  <c r="L587"/>
  <c r="L581"/>
  <c r="L580" s="1"/>
  <c r="L579" s="1"/>
  <c r="L578" s="1"/>
  <c r="L504"/>
  <c r="L503"/>
  <c r="L495"/>
  <c r="L493"/>
  <c r="L491"/>
  <c r="L490"/>
  <c r="L488"/>
  <c r="L487"/>
  <c r="L486"/>
  <c r="L482"/>
  <c r="L476"/>
  <c r="L457"/>
  <c r="L455"/>
  <c r="L446"/>
  <c r="L444"/>
  <c r="L420"/>
  <c r="L419"/>
  <c r="L412"/>
  <c r="L411"/>
  <c r="L408"/>
  <c r="L396"/>
  <c r="L393"/>
  <c r="L387"/>
  <c r="L378"/>
  <c r="L374"/>
  <c r="L341"/>
  <c r="L340" s="1"/>
  <c r="L339" s="1"/>
  <c r="L338" s="1"/>
  <c r="L337" s="1"/>
  <c r="L336" s="1"/>
  <c r="L335" s="1"/>
  <c r="L306"/>
  <c r="L305" s="1"/>
  <c r="L304" s="1"/>
  <c r="L303" s="1"/>
  <c r="L302" s="1"/>
  <c r="L301" s="1"/>
  <c r="L300"/>
  <c r="L298"/>
  <c r="L284"/>
  <c r="L283" s="1"/>
  <c r="L282" s="1"/>
  <c r="L281"/>
  <c r="L280" s="1"/>
  <c r="L279"/>
  <c r="L278"/>
  <c r="L277"/>
  <c r="L263"/>
  <c r="L262" s="1"/>
  <c r="L261" s="1"/>
  <c r="L254"/>
  <c r="L253" s="1"/>
  <c r="L252" s="1"/>
  <c r="L251"/>
  <c r="L250"/>
  <c r="L249"/>
  <c r="L246"/>
  <c r="L245" s="1"/>
  <c r="L244" s="1"/>
  <c r="L223"/>
  <c r="L222" s="1"/>
  <c r="L221" s="1"/>
  <c r="L220" s="1"/>
  <c r="L219" s="1"/>
  <c r="L218"/>
  <c r="L217" s="1"/>
  <c r="L216" s="1"/>
  <c r="L215"/>
  <c r="L214"/>
  <c r="L213"/>
  <c r="L195"/>
  <c r="L194" s="1"/>
  <c r="L193" s="1"/>
  <c r="L192" s="1"/>
  <c r="L191" s="1"/>
  <c r="L189"/>
  <c r="L188" s="1"/>
  <c r="L187" s="1"/>
  <c r="L186" s="1"/>
  <c r="L185"/>
  <c r="L184" s="1"/>
  <c r="L183" s="1"/>
  <c r="L182" s="1"/>
  <c r="L181" s="1"/>
  <c r="L179"/>
  <c r="L178" s="1"/>
  <c r="L177" s="1"/>
  <c r="L176" s="1"/>
  <c r="L175" s="1"/>
  <c r="L174" s="1"/>
  <c r="L166"/>
  <c r="L165" s="1"/>
  <c r="L164" s="1"/>
  <c r="L163" s="1"/>
  <c r="L162" s="1"/>
  <c r="L161" s="1"/>
  <c r="L155"/>
  <c r="L154"/>
  <c r="L153"/>
  <c r="L148"/>
  <c r="L147" s="1"/>
  <c r="L146"/>
  <c r="L145" s="1"/>
  <c r="L137"/>
  <c r="L136" s="1"/>
  <c r="L135" s="1"/>
  <c r="L134" s="1"/>
  <c r="L129"/>
  <c r="L123"/>
  <c r="L122" s="1"/>
  <c r="L121" s="1"/>
  <c r="L120"/>
  <c r="L119" s="1"/>
  <c r="L118" s="1"/>
  <c r="L106"/>
  <c r="L103" s="1"/>
  <c r="L102" s="1"/>
  <c r="L101" s="1"/>
  <c r="L100"/>
  <c r="L99" s="1"/>
  <c r="L98" s="1"/>
  <c r="L95"/>
  <c r="L94" s="1"/>
  <c r="L85"/>
  <c r="L84" s="1"/>
  <c r="L83"/>
  <c r="L82" s="1"/>
  <c r="L80"/>
  <c r="L74"/>
  <c r="L73" s="1"/>
  <c r="L72"/>
  <c r="L71" s="1"/>
  <c r="L69"/>
  <c r="L68" s="1"/>
  <c r="L67" s="1"/>
  <c r="L61"/>
  <c r="L60" s="1"/>
  <c r="L59" s="1"/>
  <c r="L58" s="1"/>
  <c r="L57" s="1"/>
  <c r="L54"/>
  <c r="L53" s="1"/>
  <c r="L52" s="1"/>
  <c r="L51" s="1"/>
  <c r="L50" s="1"/>
  <c r="L43"/>
  <c r="L42" s="1"/>
  <c r="L41" s="1"/>
  <c r="L40"/>
  <c r="L39" s="1"/>
  <c r="L38"/>
  <c r="L37" s="1"/>
  <c r="L35"/>
  <c r="L33"/>
  <c r="L32" s="1"/>
  <c r="L31"/>
  <c r="L30" s="1"/>
  <c r="L26"/>
  <c r="L21"/>
  <c r="L20" s="1"/>
  <c r="L19" s="1"/>
  <c r="L18" s="1"/>
  <c r="L17" s="1"/>
  <c r="L16" s="1"/>
  <c r="L418" l="1"/>
  <c r="L489"/>
  <c r="L128"/>
  <c r="L127" s="1"/>
  <c r="L126" s="1"/>
  <c r="L125" s="1"/>
  <c r="L124" s="1"/>
  <c r="L584"/>
  <c r="L373"/>
  <c r="L454"/>
  <c r="L475"/>
  <c r="L377"/>
  <c r="L386"/>
  <c r="L456"/>
  <c r="L481"/>
  <c r="L70"/>
  <c r="L63" s="1"/>
  <c r="L62" s="1"/>
  <c r="L56" s="1"/>
  <c r="L117"/>
  <c r="L116" s="1"/>
  <c r="L115" s="1"/>
  <c r="L144"/>
  <c r="L143" s="1"/>
  <c r="L142" s="1"/>
  <c r="L152"/>
  <c r="L180"/>
  <c r="L173" s="1"/>
  <c r="L212"/>
  <c r="L211" s="1"/>
  <c r="L210" s="1"/>
  <c r="L209" s="1"/>
  <c r="L208" s="1"/>
  <c r="L207" s="1"/>
  <c r="L502"/>
  <c r="L608"/>
  <c r="L607" s="1"/>
  <c r="L606" s="1"/>
  <c r="L605" s="1"/>
  <c r="L604" s="1"/>
  <c r="L628"/>
  <c r="L627" s="1"/>
  <c r="L626" s="1"/>
  <c r="L625" s="1"/>
  <c r="L624" s="1"/>
  <c r="L646"/>
  <c r="L649"/>
  <c r="L652"/>
  <c r="L655"/>
  <c r="L658"/>
  <c r="L248"/>
  <c r="L247" s="1"/>
  <c r="L243" s="1"/>
  <c r="L242" s="1"/>
  <c r="L241" s="1"/>
  <c r="L240" s="1"/>
  <c r="L239" s="1"/>
  <c r="L260"/>
  <c r="L276"/>
  <c r="L485"/>
  <c r="L619"/>
  <c r="L618" s="1"/>
  <c r="L617" s="1"/>
  <c r="L616" s="1"/>
  <c r="L615" s="1"/>
  <c r="L501" l="1"/>
  <c r="L480"/>
  <c r="L434"/>
  <c r="L385"/>
  <c r="L471"/>
  <c r="L614"/>
  <c r="L613" s="1"/>
  <c r="L645"/>
  <c r="L644" s="1"/>
  <c r="L643" s="1"/>
  <c r="L642" s="1"/>
  <c r="L470" l="1"/>
  <c r="L384"/>
  <c r="L383" s="1"/>
  <c r="L433"/>
  <c r="L479"/>
  <c r="L500"/>
  <c r="N213" i="19"/>
  <c r="M213"/>
  <c r="L213" s="1"/>
  <c r="M459" i="3"/>
  <c r="L459" s="1"/>
  <c r="N189" i="19"/>
  <c r="M189"/>
  <c r="L189" s="1"/>
  <c r="M413" i="3"/>
  <c r="N174" i="19"/>
  <c r="M174"/>
  <c r="L174" s="1"/>
  <c r="M376" i="3"/>
  <c r="L376" s="1"/>
  <c r="L375" l="1"/>
  <c r="L458"/>
  <c r="L499"/>
  <c r="L469"/>
  <c r="L413"/>
  <c r="L451"/>
  <c r="L450"/>
  <c r="H48" i="7"/>
  <c r="L372" i="3"/>
  <c r="L371" l="1"/>
  <c r="L410"/>
  <c r="L468"/>
  <c r="L498"/>
  <c r="L401"/>
  <c r="L402"/>
  <c r="L449"/>
  <c r="N363" i="19"/>
  <c r="M363"/>
  <c r="L363" s="1"/>
  <c r="N360"/>
  <c r="M360"/>
  <c r="L360" s="1"/>
  <c r="N357"/>
  <c r="M357"/>
  <c r="L357" s="1"/>
  <c r="L497" i="3" l="1"/>
  <c r="L400"/>
  <c r="M674"/>
  <c r="L674" s="1"/>
  <c r="L673" s="1"/>
  <c r="M671"/>
  <c r="L671" s="1"/>
  <c r="L670" s="1"/>
  <c r="M668"/>
  <c r="L668" s="1"/>
  <c r="L667" s="1"/>
  <c r="L666" l="1"/>
  <c r="L665" s="1"/>
  <c r="L664" s="1"/>
  <c r="L663" s="1"/>
  <c r="L641" s="1"/>
  <c r="L633" s="1"/>
  <c r="H366" i="7"/>
  <c r="H365" s="1"/>
  <c r="H364" s="1"/>
  <c r="N47" i="19"/>
  <c r="M47"/>
  <c r="L47" s="1"/>
  <c r="N37"/>
  <c r="M37"/>
  <c r="L37" s="1"/>
  <c r="M184" i="3"/>
  <c r="M183" s="1"/>
  <c r="M182" s="1"/>
  <c r="M181" s="1"/>
  <c r="M172" l="1"/>
  <c r="L172" s="1"/>
  <c r="L171" s="1"/>
  <c r="L170" s="1"/>
  <c r="L169" s="1"/>
  <c r="L168" s="1"/>
  <c r="L167" s="1"/>
  <c r="L160" s="1"/>
  <c r="M165"/>
  <c r="M164" s="1"/>
  <c r="M163" s="1"/>
  <c r="M162" s="1"/>
  <c r="M161" s="1"/>
  <c r="M159"/>
  <c r="M141"/>
  <c r="L141" s="1"/>
  <c r="L140" s="1"/>
  <c r="L139" s="1"/>
  <c r="L138" s="1"/>
  <c r="L133" s="1"/>
  <c r="M97"/>
  <c r="L97" s="1"/>
  <c r="L96" s="1"/>
  <c r="L93" s="1"/>
  <c r="L92" s="1"/>
  <c r="M87"/>
  <c r="M49"/>
  <c r="L49" s="1"/>
  <c r="L48" s="1"/>
  <c r="L47" s="1"/>
  <c r="L46" s="1"/>
  <c r="L45" s="1"/>
  <c r="L44" s="1"/>
  <c r="M36"/>
  <c r="L36" s="1"/>
  <c r="L34" s="1"/>
  <c r="L25" s="1"/>
  <c r="L24" s="1"/>
  <c r="L23" s="1"/>
  <c r="L22" s="1"/>
  <c r="L87" l="1"/>
  <c r="L86" s="1"/>
  <c r="L79" s="1"/>
  <c r="L78" s="1"/>
  <c r="L77" s="1"/>
  <c r="L76" s="1"/>
  <c r="B15" i="9"/>
  <c r="L159" i="3"/>
  <c r="L158" s="1"/>
  <c r="L151" s="1"/>
  <c r="L150" s="1"/>
  <c r="L149" s="1"/>
  <c r="L91"/>
  <c r="L90" s="1"/>
  <c r="L15"/>
  <c r="L589"/>
  <c r="L588" s="1"/>
  <c r="L583" s="1"/>
  <c r="L132" l="1"/>
  <c r="L698" s="1"/>
  <c r="L75"/>
  <c r="L582"/>
  <c r="M543"/>
  <c r="L543" s="1"/>
  <c r="L542" s="1"/>
  <c r="L541" s="1"/>
  <c r="L531" s="1"/>
  <c r="L530" s="1"/>
  <c r="L529" s="1"/>
  <c r="L345"/>
  <c r="L344" s="1"/>
  <c r="L343" s="1"/>
  <c r="L342" s="1"/>
  <c r="L299"/>
  <c r="L297" s="1"/>
  <c r="L296" s="1"/>
  <c r="L295" s="1"/>
  <c r="L294" s="1"/>
  <c r="L271"/>
  <c r="L270" s="1"/>
  <c r="N235" i="19"/>
  <c r="M235"/>
  <c r="L235" s="1"/>
  <c r="N193"/>
  <c r="N192"/>
  <c r="N191"/>
  <c r="M193"/>
  <c r="L193" s="1"/>
  <c r="M192"/>
  <c r="L192" s="1"/>
  <c r="M191"/>
  <c r="L191" s="1"/>
  <c r="L114" i="3" l="1"/>
  <c r="L14" s="1"/>
  <c r="L528"/>
  <c r="L506" s="1"/>
  <c r="L714"/>
  <c r="N217" i="19"/>
  <c r="N216" s="1"/>
  <c r="N215" s="1"/>
  <c r="N214" s="1"/>
  <c r="M217"/>
  <c r="M216" s="1"/>
  <c r="M215" s="1"/>
  <c r="M214" s="1"/>
  <c r="L577" i="3"/>
  <c r="L576" s="1"/>
  <c r="L575" s="1"/>
  <c r="L574" s="1"/>
  <c r="H372" i="7"/>
  <c r="L318" i="3"/>
  <c r="L317" s="1"/>
  <c r="L496"/>
  <c r="L445"/>
  <c r="L443"/>
  <c r="L417"/>
  <c r="L416"/>
  <c r="M415"/>
  <c r="L404"/>
  <c r="L395"/>
  <c r="L394"/>
  <c r="L368"/>
  <c r="L367" s="1"/>
  <c r="L366" s="1"/>
  <c r="L730" l="1"/>
  <c r="L494"/>
  <c r="L403"/>
  <c r="L415"/>
  <c r="L414" s="1"/>
  <c r="L392"/>
  <c r="L442"/>
  <c r="L441" s="1"/>
  <c r="D59" i="16"/>
  <c r="C59"/>
  <c r="D49"/>
  <c r="C49"/>
  <c r="D43"/>
  <c r="C43"/>
  <c r="D42"/>
  <c r="C42"/>
  <c r="D36"/>
  <c r="C36"/>
  <c r="D26"/>
  <c r="C26"/>
  <c r="C21"/>
  <c r="C20" s="1"/>
  <c r="C19" s="1"/>
  <c r="C35" i="15" s="1"/>
  <c r="D21" i="16"/>
  <c r="D20" s="1"/>
  <c r="D19" s="1"/>
  <c r="D35" i="15" s="1"/>
  <c r="C76" i="2"/>
  <c r="C66"/>
  <c r="C60"/>
  <c r="C59"/>
  <c r="C42"/>
  <c r="L391" i="3" l="1"/>
  <c r="L484"/>
  <c r="L316"/>
  <c r="C29" i="5"/>
  <c r="C26"/>
  <c r="C24"/>
  <c r="L440" i="3" l="1"/>
  <c r="L483"/>
  <c r="L365"/>
  <c r="L390"/>
  <c r="L315"/>
  <c r="C13" i="5"/>
  <c r="I254" i="18"/>
  <c r="I255"/>
  <c r="H255"/>
  <c r="H254"/>
  <c r="I248"/>
  <c r="H248"/>
  <c r="I162"/>
  <c r="I163"/>
  <c r="H163"/>
  <c r="H162"/>
  <c r="I150"/>
  <c r="H150"/>
  <c r="I138"/>
  <c r="I137" s="1"/>
  <c r="I136" s="1"/>
  <c r="I135" s="1"/>
  <c r="H138"/>
  <c r="H137" s="1"/>
  <c r="H136" s="1"/>
  <c r="H135" s="1"/>
  <c r="I134"/>
  <c r="H134"/>
  <c r="H133" s="1"/>
  <c r="H132" s="1"/>
  <c r="I133"/>
  <c r="I132" s="1"/>
  <c r="I131" s="1"/>
  <c r="I122"/>
  <c r="H122"/>
  <c r="I103"/>
  <c r="I104"/>
  <c r="H104"/>
  <c r="H103"/>
  <c r="I66"/>
  <c r="H66"/>
  <c r="I52"/>
  <c r="I51" s="1"/>
  <c r="H52"/>
  <c r="H51" s="1"/>
  <c r="H463" i="7"/>
  <c r="H462" s="1"/>
  <c r="H461" s="1"/>
  <c r="H164"/>
  <c r="H478"/>
  <c r="H477" s="1"/>
  <c r="H476" s="1"/>
  <c r="H475" s="1"/>
  <c r="H474" s="1"/>
  <c r="L364" i="3" l="1"/>
  <c r="L363" s="1"/>
  <c r="L389"/>
  <c r="L388" s="1"/>
  <c r="L478"/>
  <c r="L477" s="1"/>
  <c r="L439"/>
  <c r="I253" i="18"/>
  <c r="I252" s="1"/>
  <c r="H253"/>
  <c r="H252" s="1"/>
  <c r="H200" i="7"/>
  <c r="H199" s="1"/>
  <c r="H371"/>
  <c r="H370" s="1"/>
  <c r="H369" s="1"/>
  <c r="H323"/>
  <c r="H94"/>
  <c r="H55"/>
  <c r="H54" s="1"/>
  <c r="L438" i="3" l="1"/>
  <c r="C13" i="21"/>
  <c r="B13" i="9"/>
  <c r="L706" i="3" l="1"/>
  <c r="L362"/>
  <c r="L361" s="1"/>
  <c r="L707"/>
  <c r="M69" i="19"/>
  <c r="N69"/>
  <c r="M276"/>
  <c r="N276"/>
  <c r="M28"/>
  <c r="N28"/>
  <c r="M310" l="1"/>
  <c r="N310"/>
  <c r="M299" l="1"/>
  <c r="N299"/>
  <c r="M230" l="1"/>
  <c r="N230"/>
  <c r="M273" l="1"/>
  <c r="N273"/>
  <c r="M233" l="1"/>
  <c r="N233"/>
  <c r="N210"/>
  <c r="M210"/>
  <c r="L210"/>
  <c r="M152"/>
  <c r="N152"/>
  <c r="M145" l="1"/>
  <c r="N145"/>
  <c r="L122" l="1"/>
  <c r="M122"/>
  <c r="M114"/>
  <c r="N114"/>
  <c r="N97" l="1"/>
  <c r="N96" s="1"/>
  <c r="M97"/>
  <c r="M96" s="1"/>
  <c r="M95" s="1"/>
  <c r="M94" s="1"/>
  <c r="M88" s="1"/>
  <c r="M65"/>
  <c r="M64" s="1"/>
  <c r="M63" s="1"/>
  <c r="N65"/>
  <c r="N64" s="1"/>
  <c r="N63" s="1"/>
  <c r="L65"/>
  <c r="L64" s="1"/>
  <c r="L63" s="1"/>
  <c r="L59"/>
  <c r="L58" s="1"/>
  <c r="N59"/>
  <c r="N58" s="1"/>
  <c r="M59"/>
  <c r="M58" s="1"/>
  <c r="L97" l="1"/>
  <c r="L96" s="1"/>
  <c r="L95" s="1"/>
  <c r="L94" s="1"/>
  <c r="L88" s="1"/>
  <c r="L310" l="1"/>
  <c r="L299"/>
  <c r="L276"/>
  <c r="L233"/>
  <c r="L152"/>
  <c r="L145"/>
  <c r="L114"/>
  <c r="L69" l="1"/>
  <c r="L28"/>
  <c r="L230"/>
  <c r="L273"/>
  <c r="M588" i="3" l="1"/>
  <c r="L735" l="1"/>
  <c r="L736" s="1"/>
  <c r="M196"/>
  <c r="M195" s="1"/>
  <c r="M194" s="1"/>
  <c r="M193" s="1"/>
  <c r="M192" s="1"/>
  <c r="M191" l="1"/>
  <c r="M735"/>
  <c r="D53" i="6" s="1"/>
  <c r="D52" s="1"/>
  <c r="F20" i="22" l="1"/>
  <c r="F19" i="11"/>
  <c r="L724" i="3" l="1"/>
  <c r="L697"/>
  <c r="L688"/>
  <c r="L685"/>
  <c r="L683"/>
  <c r="L703" l="1"/>
  <c r="L731"/>
  <c r="L732"/>
  <c r="L692"/>
  <c r="L696"/>
  <c r="L710" l="1"/>
  <c r="L686"/>
  <c r="L684"/>
  <c r="L715"/>
  <c r="L733"/>
  <c r="L727"/>
  <c r="L699" l="1"/>
  <c r="L719"/>
  <c r="L722" s="1"/>
  <c r="L693"/>
  <c r="L694" s="1"/>
  <c r="L711"/>
  <c r="L708"/>
  <c r="L712" l="1"/>
  <c r="L716"/>
  <c r="L726"/>
  <c r="L728" s="1"/>
  <c r="L745" l="1"/>
  <c r="D27" i="12" l="1"/>
  <c r="D16"/>
  <c r="D14" i="15" l="1"/>
  <c r="C14"/>
  <c r="H322" i="7" l="1"/>
  <c r="H321" s="1"/>
  <c r="H317" s="1"/>
  <c r="M639" i="3" l="1"/>
  <c r="H346" i="7" l="1"/>
  <c r="H344"/>
  <c r="I186" i="18"/>
  <c r="H186"/>
  <c r="I184"/>
  <c r="H184"/>
  <c r="H96" i="7"/>
  <c r="H95" s="1"/>
  <c r="M456" i="3" l="1"/>
  <c r="M345" l="1"/>
  <c r="M344" s="1"/>
  <c r="M343" s="1"/>
  <c r="M342" s="1"/>
  <c r="M158" i="19"/>
  <c r="M157" s="1"/>
  <c r="M156" s="1"/>
  <c r="M155" s="1"/>
  <c r="L158"/>
  <c r="L157" s="1"/>
  <c r="L156" s="1"/>
  <c r="L155" s="1"/>
  <c r="N158"/>
  <c r="N157" s="1"/>
  <c r="N156" s="1"/>
  <c r="N155" s="1"/>
  <c r="L350" l="1"/>
  <c r="N350"/>
  <c r="M350"/>
  <c r="L348"/>
  <c r="N348"/>
  <c r="M348"/>
  <c r="M661" i="3"/>
  <c r="M659"/>
  <c r="M658" l="1"/>
  <c r="N347" i="19"/>
  <c r="M347"/>
  <c r="L347"/>
  <c r="M673" i="3"/>
  <c r="M670"/>
  <c r="M667"/>
  <c r="M655"/>
  <c r="M652"/>
  <c r="M649"/>
  <c r="M646"/>
  <c r="M638"/>
  <c r="M637" s="1"/>
  <c r="M636" s="1"/>
  <c r="M635" s="1"/>
  <c r="M634" s="1"/>
  <c r="M627"/>
  <c r="M626" s="1"/>
  <c r="M625" s="1"/>
  <c r="M624" s="1"/>
  <c r="M622"/>
  <c r="M619"/>
  <c r="M608"/>
  <c r="M607" s="1"/>
  <c r="M606" s="1"/>
  <c r="M605" s="1"/>
  <c r="M604" s="1"/>
  <c r="M602"/>
  <c r="M601" s="1"/>
  <c r="M600" s="1"/>
  <c r="M597"/>
  <c r="M596" s="1"/>
  <c r="M595" s="1"/>
  <c r="M584"/>
  <c r="M583" s="1"/>
  <c r="M580"/>
  <c r="M579" s="1"/>
  <c r="M578" s="1"/>
  <c r="M565"/>
  <c r="M561"/>
  <c r="M548"/>
  <c r="M547" s="1"/>
  <c r="M546" s="1"/>
  <c r="M542"/>
  <c r="M537"/>
  <c r="M535"/>
  <c r="M533"/>
  <c r="M526"/>
  <c r="M514"/>
  <c r="M512"/>
  <c r="M502"/>
  <c r="M494"/>
  <c r="M485"/>
  <c r="M481"/>
  <c r="M475"/>
  <c r="M458"/>
  <c r="M454"/>
  <c r="M449"/>
  <c r="M442"/>
  <c r="M418"/>
  <c r="M414"/>
  <c r="M410"/>
  <c r="M408"/>
  <c r="M403"/>
  <c r="M400"/>
  <c r="M392"/>
  <c r="M386"/>
  <c r="M377"/>
  <c r="M375"/>
  <c r="M373"/>
  <c r="M371"/>
  <c r="M367"/>
  <c r="M340"/>
  <c r="M339" s="1"/>
  <c r="M318"/>
  <c r="M317" s="1"/>
  <c r="M306"/>
  <c r="M305" s="1"/>
  <c r="M304" s="1"/>
  <c r="M303" s="1"/>
  <c r="M302" s="1"/>
  <c r="M301" s="1"/>
  <c r="M297"/>
  <c r="M296" s="1"/>
  <c r="M295" s="1"/>
  <c r="M286"/>
  <c r="M285" s="1"/>
  <c r="M283"/>
  <c r="M282" s="1"/>
  <c r="M280"/>
  <c r="M276"/>
  <c r="M272"/>
  <c r="M262"/>
  <c r="M261" s="1"/>
  <c r="M253"/>
  <c r="M252" s="1"/>
  <c r="M248"/>
  <c r="M247" s="1"/>
  <c r="M245"/>
  <c r="M244" s="1"/>
  <c r="M228"/>
  <c r="M223"/>
  <c r="M222" s="1"/>
  <c r="M221" s="1"/>
  <c r="M220" s="1"/>
  <c r="M219" s="1"/>
  <c r="M217"/>
  <c r="M216" s="1"/>
  <c r="M212"/>
  <c r="M211" s="1"/>
  <c r="M189"/>
  <c r="M188" s="1"/>
  <c r="M187" s="1"/>
  <c r="M186" s="1"/>
  <c r="M180" s="1"/>
  <c r="M178"/>
  <c r="M177" s="1"/>
  <c r="M176" s="1"/>
  <c r="M175" s="1"/>
  <c r="M174" s="1"/>
  <c r="M171"/>
  <c r="M170" s="1"/>
  <c r="M169" s="1"/>
  <c r="M168" s="1"/>
  <c r="M167" s="1"/>
  <c r="M160" s="1"/>
  <c r="M158"/>
  <c r="M152"/>
  <c r="M147"/>
  <c r="M145"/>
  <c r="M140"/>
  <c r="M139" s="1"/>
  <c r="M138" s="1"/>
  <c r="M136"/>
  <c r="M135" s="1"/>
  <c r="M134" s="1"/>
  <c r="M128"/>
  <c r="M122"/>
  <c r="M121" s="1"/>
  <c r="M119"/>
  <c r="M118" s="1"/>
  <c r="M103"/>
  <c r="M102" s="1"/>
  <c r="M101" s="1"/>
  <c r="M99"/>
  <c r="M98" s="1"/>
  <c r="M96"/>
  <c r="M94"/>
  <c r="M86"/>
  <c r="M84"/>
  <c r="M82"/>
  <c r="M80"/>
  <c r="M73"/>
  <c r="M71"/>
  <c r="M68"/>
  <c r="M67" s="1"/>
  <c r="M60"/>
  <c r="M59" s="1"/>
  <c r="M58" s="1"/>
  <c r="M57" s="1"/>
  <c r="M54"/>
  <c r="M53" s="1"/>
  <c r="M52" s="1"/>
  <c r="M51" s="1"/>
  <c r="M50" s="1"/>
  <c r="M48"/>
  <c r="M47" s="1"/>
  <c r="M46" s="1"/>
  <c r="M45" s="1"/>
  <c r="M44" s="1"/>
  <c r="M42"/>
  <c r="M41" s="1"/>
  <c r="M39"/>
  <c r="M37"/>
  <c r="M34"/>
  <c r="M32"/>
  <c r="M30"/>
  <c r="M391" l="1"/>
  <c r="M441"/>
  <c r="M366"/>
  <c r="M127"/>
  <c r="M126" s="1"/>
  <c r="M125" s="1"/>
  <c r="M124" s="1"/>
  <c r="M227"/>
  <c r="L228"/>
  <c r="M151"/>
  <c r="M150" s="1"/>
  <c r="M149" s="1"/>
  <c r="M525"/>
  <c r="M541"/>
  <c r="M560"/>
  <c r="M385"/>
  <c r="M434"/>
  <c r="M480"/>
  <c r="M471"/>
  <c r="M501"/>
  <c r="M79"/>
  <c r="M78" s="1"/>
  <c r="M77" s="1"/>
  <c r="M76" s="1"/>
  <c r="M532"/>
  <c r="M564"/>
  <c r="M484"/>
  <c r="M511"/>
  <c r="M510" s="1"/>
  <c r="M20"/>
  <c r="M19" s="1"/>
  <c r="M18" s="1"/>
  <c r="M17" s="1"/>
  <c r="M16" s="1"/>
  <c r="M144"/>
  <c r="M143" s="1"/>
  <c r="M142" s="1"/>
  <c r="M260"/>
  <c r="M594"/>
  <c r="M593" s="1"/>
  <c r="M117"/>
  <c r="M116" s="1"/>
  <c r="M115" s="1"/>
  <c r="M338"/>
  <c r="M337" s="1"/>
  <c r="M582"/>
  <c r="M577" s="1"/>
  <c r="M576" s="1"/>
  <c r="M730" s="1"/>
  <c r="M645"/>
  <c r="M666"/>
  <c r="M665" s="1"/>
  <c r="M664" s="1"/>
  <c r="M663" s="1"/>
  <c r="M746" s="1"/>
  <c r="M25"/>
  <c r="M24" s="1"/>
  <c r="M23" s="1"/>
  <c r="M22" s="1"/>
  <c r="M93"/>
  <c r="M92" s="1"/>
  <c r="M91" s="1"/>
  <c r="M294"/>
  <c r="M316"/>
  <c r="M315" s="1"/>
  <c r="M618"/>
  <c r="M617" s="1"/>
  <c r="M616" s="1"/>
  <c r="M615" s="1"/>
  <c r="M614" s="1"/>
  <c r="M613" s="1"/>
  <c r="M70"/>
  <c r="M63" s="1"/>
  <c r="M133"/>
  <c r="M210"/>
  <c r="M209" s="1"/>
  <c r="M208" s="1"/>
  <c r="M207" s="1"/>
  <c r="M243"/>
  <c r="M242" s="1"/>
  <c r="M241" s="1"/>
  <c r="M240" s="1"/>
  <c r="M239" s="1"/>
  <c r="M271"/>
  <c r="M270" s="1"/>
  <c r="M173"/>
  <c r="M470" l="1"/>
  <c r="M531"/>
  <c r="M530" s="1"/>
  <c r="M529" s="1"/>
  <c r="M226"/>
  <c r="M225" s="1"/>
  <c r="L227"/>
  <c r="M563"/>
  <c r="M559"/>
  <c r="M524"/>
  <c r="M483"/>
  <c r="M469"/>
  <c r="M365"/>
  <c r="M440"/>
  <c r="M500"/>
  <c r="M479"/>
  <c r="M433"/>
  <c r="M384"/>
  <c r="M309"/>
  <c r="M390"/>
  <c r="M62"/>
  <c r="M56" s="1"/>
  <c r="M15" s="1"/>
  <c r="M575"/>
  <c r="M574" s="1"/>
  <c r="M90"/>
  <c r="M75" s="1"/>
  <c r="M644"/>
  <c r="M643" s="1"/>
  <c r="M642" s="1"/>
  <c r="M641" s="1"/>
  <c r="M132"/>
  <c r="M698" s="1"/>
  <c r="M336"/>
  <c r="M335" s="1"/>
  <c r="M383" l="1"/>
  <c r="M439"/>
  <c r="M478"/>
  <c r="M114"/>
  <c r="M14" s="1"/>
  <c r="D29" i="6"/>
  <c r="L226" i="3"/>
  <c r="L738" s="1"/>
  <c r="L741" s="1"/>
  <c r="M558"/>
  <c r="M557" s="1"/>
  <c r="M523"/>
  <c r="M509"/>
  <c r="M389"/>
  <c r="M499"/>
  <c r="M364"/>
  <c r="M468"/>
  <c r="M702"/>
  <c r="L309"/>
  <c r="L702" s="1"/>
  <c r="L704" s="1"/>
  <c r="M308"/>
  <c r="L308" s="1"/>
  <c r="M633"/>
  <c r="M438" l="1"/>
  <c r="M363"/>
  <c r="M477"/>
  <c r="M388"/>
  <c r="L225"/>
  <c r="L206" s="1"/>
  <c r="M206"/>
  <c r="M508"/>
  <c r="M522"/>
  <c r="M710"/>
  <c r="M498"/>
  <c r="M528" l="1"/>
  <c r="M507"/>
  <c r="M707"/>
  <c r="M497"/>
  <c r="M726"/>
  <c r="M706"/>
  <c r="M362"/>
  <c r="H341" i="7"/>
  <c r="H340" s="1"/>
  <c r="M506" i="3" l="1"/>
  <c r="M361"/>
  <c r="H123" i="7"/>
  <c r="H468" l="1"/>
  <c r="H140" l="1"/>
  <c r="H139" s="1"/>
  <c r="H413" l="1"/>
  <c r="H412" s="1"/>
  <c r="C16" i="20" l="1"/>
  <c r="C15" s="1"/>
  <c r="C17" i="8" l="1"/>
  <c r="C16" s="1"/>
  <c r="H25" i="7" l="1"/>
  <c r="H24" s="1"/>
  <c r="H212" l="1"/>
  <c r="H211" s="1"/>
  <c r="H210" s="1"/>
  <c r="H204" s="1"/>
  <c r="I233" i="18" l="1"/>
  <c r="I232" s="1"/>
  <c r="H233"/>
  <c r="H232" s="1"/>
  <c r="H132" i="7" l="1"/>
  <c r="H131" s="1"/>
  <c r="H127" s="1"/>
  <c r="H460" l="1"/>
  <c r="H282"/>
  <c r="H434"/>
  <c r="H433" s="1"/>
  <c r="N46" i="19" l="1"/>
  <c r="N45" s="1"/>
  <c r="N44" s="1"/>
  <c r="N43" s="1"/>
  <c r="N42" s="1"/>
  <c r="N378" s="1"/>
  <c r="E20" i="17" s="1"/>
  <c r="M46" i="19"/>
  <c r="M45" s="1"/>
  <c r="M44" s="1"/>
  <c r="M43" s="1"/>
  <c r="M42" s="1"/>
  <c r="M378" s="1"/>
  <c r="D20" i="17" s="1"/>
  <c r="L46" i="19"/>
  <c r="L45" s="1"/>
  <c r="L44" s="1"/>
  <c r="L43" s="1"/>
  <c r="L42" s="1"/>
  <c r="L378" s="1"/>
  <c r="M685" i="3"/>
  <c r="D19" i="6" s="1"/>
  <c r="L77" i="19" l="1"/>
  <c r="L76" s="1"/>
  <c r="L328"/>
  <c r="L327" s="1"/>
  <c r="L326" s="1"/>
  <c r="L325" s="1"/>
  <c r="L324" s="1"/>
  <c r="L323" s="1"/>
  <c r="L309"/>
  <c r="L308" s="1"/>
  <c r="L307" s="1"/>
  <c r="L306" s="1"/>
  <c r="L298"/>
  <c r="L297" s="1"/>
  <c r="L296" s="1"/>
  <c r="L295" s="1"/>
  <c r="L258"/>
  <c r="L257" s="1"/>
  <c r="L251"/>
  <c r="L250" s="1"/>
  <c r="L249" s="1"/>
  <c r="L248" s="1"/>
  <c r="L247" s="1"/>
  <c r="L246" s="1"/>
  <c r="L212"/>
  <c r="L199"/>
  <c r="L198" s="1"/>
  <c r="L197" s="1"/>
  <c r="L175"/>
  <c r="L173"/>
  <c r="L171"/>
  <c r="L151"/>
  <c r="L150" s="1"/>
  <c r="L149" s="1"/>
  <c r="L143"/>
  <c r="L134"/>
  <c r="L133" s="1"/>
  <c r="L131"/>
  <c r="L130" s="1"/>
  <c r="L113"/>
  <c r="L112" s="1"/>
  <c r="L111" s="1"/>
  <c r="L110" s="1"/>
  <c r="L109" s="1"/>
  <c r="L86"/>
  <c r="L85" s="1"/>
  <c r="L84" s="1"/>
  <c r="L83" s="1"/>
  <c r="L82" s="1"/>
  <c r="L80"/>
  <c r="L79" s="1"/>
  <c r="L52"/>
  <c r="L51" s="1"/>
  <c r="L50" s="1"/>
  <c r="L49" s="1"/>
  <c r="L48" s="1"/>
  <c r="L40"/>
  <c r="L38"/>
  <c r="L33"/>
  <c r="L31"/>
  <c r="L402" l="1"/>
  <c r="L35"/>
  <c r="L186"/>
  <c r="L190"/>
  <c r="L194"/>
  <c r="L205"/>
  <c r="L226"/>
  <c r="L241"/>
  <c r="L240" s="1"/>
  <c r="L239" s="1"/>
  <c r="L238" s="1"/>
  <c r="L237" s="1"/>
  <c r="L263"/>
  <c r="L262" s="1"/>
  <c r="L256" s="1"/>
  <c r="L283"/>
  <c r="L282" s="1"/>
  <c r="L317"/>
  <c r="L316" s="1"/>
  <c r="L315" s="1"/>
  <c r="L314" s="1"/>
  <c r="L313" s="1"/>
  <c r="L305" s="1"/>
  <c r="L304" s="1"/>
  <c r="L335"/>
  <c r="L338"/>
  <c r="L341"/>
  <c r="L344"/>
  <c r="L356"/>
  <c r="L359"/>
  <c r="L362"/>
  <c r="L170"/>
  <c r="L169" s="1"/>
  <c r="L168" s="1"/>
  <c r="L167" s="1"/>
  <c r="L181"/>
  <c r="L142"/>
  <c r="L141" s="1"/>
  <c r="L140" s="1"/>
  <c r="L139" s="1"/>
  <c r="L381" s="1"/>
  <c r="L129"/>
  <c r="L128" s="1"/>
  <c r="L127" s="1"/>
  <c r="L126" s="1"/>
  <c r="L125" s="1"/>
  <c r="L75"/>
  <c r="L74" s="1"/>
  <c r="L73" s="1"/>
  <c r="L255" l="1"/>
  <c r="L254" s="1"/>
  <c r="L281"/>
  <c r="L280" s="1"/>
  <c r="L279" s="1"/>
  <c r="L390"/>
  <c r="L204"/>
  <c r="L203" s="1"/>
  <c r="L202" s="1"/>
  <c r="L201" s="1"/>
  <c r="L68"/>
  <c r="L67" s="1"/>
  <c r="L62" s="1"/>
  <c r="L61" s="1"/>
  <c r="L57" s="1"/>
  <c r="L56" s="1"/>
  <c r="L55" s="1"/>
  <c r="L236"/>
  <c r="L138"/>
  <c r="L137" s="1"/>
  <c r="L225"/>
  <c r="L224" s="1"/>
  <c r="L223" s="1"/>
  <c r="L222" s="1"/>
  <c r="L272"/>
  <c r="L271" s="1"/>
  <c r="L270" s="1"/>
  <c r="L269" s="1"/>
  <c r="L334"/>
  <c r="L180"/>
  <c r="L179" s="1"/>
  <c r="L178" s="1"/>
  <c r="L177" s="1"/>
  <c r="L355"/>
  <c r="L354" s="1"/>
  <c r="L353" s="1"/>
  <c r="L352" s="1"/>
  <c r="L419" s="1"/>
  <c r="D58" i="16"/>
  <c r="C58"/>
  <c r="C75" i="2"/>
  <c r="L253" i="19" l="1"/>
  <c r="L245" s="1"/>
  <c r="L166"/>
  <c r="L165" s="1"/>
  <c r="L72"/>
  <c r="L333"/>
  <c r="L332" s="1"/>
  <c r="L331" s="1"/>
  <c r="L330" s="1"/>
  <c r="L54"/>
  <c r="L384"/>
  <c r="L322" l="1"/>
  <c r="L418"/>
  <c r="C15" i="8" l="1"/>
  <c r="H109" i="7" l="1"/>
  <c r="H90"/>
  <c r="H89"/>
  <c r="H21"/>
  <c r="H20" s="1"/>
  <c r="H88" l="1"/>
  <c r="H143" l="1"/>
  <c r="H466" l="1"/>
  <c r="H465" l="1"/>
  <c r="H450"/>
  <c r="H449" s="1"/>
  <c r="C12" i="21" l="1"/>
  <c r="C11" s="1"/>
  <c r="B12" l="1"/>
  <c r="B11" s="1"/>
  <c r="L121" i="19"/>
  <c r="L120" s="1"/>
  <c r="L119" s="1"/>
  <c r="L118" s="1"/>
  <c r="L117" s="1"/>
  <c r="L108" s="1"/>
  <c r="H250" i="7" l="1"/>
  <c r="I35" i="18" l="1"/>
  <c r="H35"/>
  <c r="I34"/>
  <c r="H34"/>
  <c r="I65"/>
  <c r="I64" s="1"/>
  <c r="H65"/>
  <c r="H64" s="1"/>
  <c r="I50"/>
  <c r="H50"/>
  <c r="I48"/>
  <c r="H48"/>
  <c r="I47"/>
  <c r="H47"/>
  <c r="I42"/>
  <c r="H42"/>
  <c r="I30"/>
  <c r="H30"/>
  <c r="I29"/>
  <c r="H29"/>
  <c r="I244"/>
  <c r="I243" s="1"/>
  <c r="H244"/>
  <c r="H243" s="1"/>
  <c r="I240"/>
  <c r="H240"/>
  <c r="H345" i="7" l="1"/>
  <c r="H343"/>
  <c r="H157"/>
  <c r="H156"/>
  <c r="H155"/>
  <c r="H108"/>
  <c r="H107" s="1"/>
  <c r="H85"/>
  <c r="H83"/>
  <c r="H82"/>
  <c r="H39"/>
  <c r="H441"/>
  <c r="L22" i="19"/>
  <c r="L21" s="1"/>
  <c r="L20" s="1"/>
  <c r="L19" s="1"/>
  <c r="L18" s="1"/>
  <c r="L428"/>
  <c r="L366"/>
  <c r="H342" i="7" l="1"/>
  <c r="L433" i="19"/>
  <c r="L27"/>
  <c r="H154" i="7"/>
  <c r="H153" s="1"/>
  <c r="L376" i="19"/>
  <c r="N205" l="1"/>
  <c r="M205"/>
  <c r="N194"/>
  <c r="M194"/>
  <c r="M186"/>
  <c r="N186"/>
  <c r="N181"/>
  <c r="M181"/>
  <c r="N40" l="1"/>
  <c r="M40"/>
  <c r="N35"/>
  <c r="M35"/>
  <c r="N143" l="1"/>
  <c r="M143"/>
  <c r="N263" l="1"/>
  <c r="N262" s="1"/>
  <c r="M263"/>
  <c r="M262" l="1"/>
  <c r="N309" l="1"/>
  <c r="H187" i="7"/>
  <c r="N356" i="19"/>
  <c r="M356"/>
  <c r="M309" l="1"/>
  <c r="C68" i="2" l="1"/>
  <c r="N134" i="19" l="1"/>
  <c r="M134"/>
  <c r="D17" i="16" l="1"/>
  <c r="D16" s="1"/>
  <c r="D34"/>
  <c r="D40"/>
  <c r="D51"/>
  <c r="D50" s="1"/>
  <c r="D54"/>
  <c r="C54"/>
  <c r="C51"/>
  <c r="C50" s="1"/>
  <c r="C40"/>
  <c r="C34"/>
  <c r="C17"/>
  <c r="C16" s="1"/>
  <c r="D34" i="15" l="1"/>
  <c r="C34"/>
  <c r="C25" i="16"/>
  <c r="C24" s="1"/>
  <c r="C23" s="1"/>
  <c r="D25"/>
  <c r="D24" s="1"/>
  <c r="D23" s="1"/>
  <c r="C29" i="2" l="1"/>
  <c r="C20" s="1"/>
  <c r="C34" i="5" l="1"/>
  <c r="C15" i="16"/>
  <c r="C14" s="1"/>
  <c r="D15"/>
  <c r="D14" s="1"/>
  <c r="C36" i="15"/>
  <c r="C33" s="1"/>
  <c r="D36"/>
  <c r="D33" s="1"/>
  <c r="F26" i="4"/>
  <c r="F15"/>
  <c r="F16" l="1"/>
  <c r="F17"/>
  <c r="F18"/>
  <c r="F19"/>
  <c r="F20"/>
  <c r="F21"/>
  <c r="F22"/>
  <c r="F23"/>
  <c r="F24"/>
  <c r="F25"/>
  <c r="D14"/>
  <c r="F14" l="1"/>
  <c r="H445" i="7" l="1"/>
  <c r="H444" s="1"/>
  <c r="H314" l="1"/>
  <c r="H313" s="1"/>
  <c r="H312" s="1"/>
  <c r="H186" l="1"/>
  <c r="H58"/>
  <c r="H50"/>
  <c r="H281"/>
  <c r="H280" s="1"/>
  <c r="N428" i="19" l="1"/>
  <c r="M428"/>
  <c r="M736" i="3" l="1"/>
  <c r="H40" i="7" l="1"/>
  <c r="H47"/>
  <c r="H57" l="1"/>
  <c r="H65" l="1"/>
  <c r="H122" l="1"/>
  <c r="H121" s="1"/>
  <c r="H290" l="1"/>
  <c r="H289" s="1"/>
  <c r="H308"/>
  <c r="H307" s="1"/>
  <c r="I153" i="18" l="1"/>
  <c r="H153"/>
  <c r="H274" i="7"/>
  <c r="H273" s="1"/>
  <c r="H272" s="1"/>
  <c r="M121" i="19" l="1"/>
  <c r="N122"/>
  <c r="N121" s="1"/>
  <c r="I273" i="18" l="1"/>
  <c r="I272" s="1"/>
  <c r="I290" s="1"/>
  <c r="H273"/>
  <c r="H272" s="1"/>
  <c r="H290" s="1"/>
  <c r="I270"/>
  <c r="H270"/>
  <c r="I264"/>
  <c r="H264"/>
  <c r="I261"/>
  <c r="H261"/>
  <c r="I247"/>
  <c r="I246" s="1"/>
  <c r="H247"/>
  <c r="H246" s="1"/>
  <c r="I242"/>
  <c r="H242"/>
  <c r="I239"/>
  <c r="I238" s="1"/>
  <c r="H239"/>
  <c r="H238" s="1"/>
  <c r="I237"/>
  <c r="H237"/>
  <c r="I235"/>
  <c r="H235"/>
  <c r="H231"/>
  <c r="I231"/>
  <c r="I230"/>
  <c r="H230"/>
  <c r="I227"/>
  <c r="H227"/>
  <c r="I215"/>
  <c r="H215"/>
  <c r="I209"/>
  <c r="H209"/>
  <c r="I206"/>
  <c r="H206"/>
  <c r="H200"/>
  <c r="I200"/>
  <c r="I199"/>
  <c r="H199"/>
  <c r="H197"/>
  <c r="I197"/>
  <c r="I196"/>
  <c r="H196"/>
  <c r="H194"/>
  <c r="I194"/>
  <c r="I193"/>
  <c r="H193"/>
  <c r="I185"/>
  <c r="H185"/>
  <c r="I183"/>
  <c r="I182" s="1"/>
  <c r="H183"/>
  <c r="H182" s="1"/>
  <c r="I181"/>
  <c r="H181"/>
  <c r="H179"/>
  <c r="I179"/>
  <c r="I178"/>
  <c r="H178"/>
  <c r="H176"/>
  <c r="I176"/>
  <c r="I175"/>
  <c r="H175"/>
  <c r="H173"/>
  <c r="I173"/>
  <c r="I172"/>
  <c r="H172"/>
  <c r="H170"/>
  <c r="I170"/>
  <c r="I169"/>
  <c r="H169"/>
  <c r="I161"/>
  <c r="I160" s="1"/>
  <c r="H161"/>
  <c r="H160" s="1"/>
  <c r="I159"/>
  <c r="H159"/>
  <c r="I149"/>
  <c r="I148" s="1"/>
  <c r="H149"/>
  <c r="H148" s="1"/>
  <c r="H143"/>
  <c r="I143"/>
  <c r="I142"/>
  <c r="H142"/>
  <c r="H127" l="1"/>
  <c r="I127"/>
  <c r="H128"/>
  <c r="I128"/>
  <c r="I126"/>
  <c r="H126"/>
  <c r="I121"/>
  <c r="H121"/>
  <c r="H108"/>
  <c r="I108"/>
  <c r="H109"/>
  <c r="I109"/>
  <c r="I107"/>
  <c r="H107"/>
  <c r="I102"/>
  <c r="I101" s="1"/>
  <c r="H102"/>
  <c r="H101" s="1"/>
  <c r="I96"/>
  <c r="H96"/>
  <c r="H94"/>
  <c r="I94"/>
  <c r="I93"/>
  <c r="H93"/>
  <c r="I85"/>
  <c r="I84" s="1"/>
  <c r="I83" s="1"/>
  <c r="H85"/>
  <c r="H84" s="1"/>
  <c r="H83" s="1"/>
  <c r="I80"/>
  <c r="H80"/>
  <c r="I77"/>
  <c r="H77"/>
  <c r="I120" l="1"/>
  <c r="I119" s="1"/>
  <c r="H120"/>
  <c r="H119" s="1"/>
  <c r="I68"/>
  <c r="I67" s="1"/>
  <c r="H68"/>
  <c r="H67" s="1"/>
  <c r="H63"/>
  <c r="I63"/>
  <c r="I62"/>
  <c r="H62"/>
  <c r="H59"/>
  <c r="I59"/>
  <c r="H60"/>
  <c r="I60"/>
  <c r="I58"/>
  <c r="H58"/>
  <c r="I54"/>
  <c r="I53" s="1"/>
  <c r="H54"/>
  <c r="H53" s="1"/>
  <c r="I49"/>
  <c r="H49"/>
  <c r="I43"/>
  <c r="I41" s="1"/>
  <c r="H43"/>
  <c r="H41" s="1"/>
  <c r="H39"/>
  <c r="I39"/>
  <c r="H40"/>
  <c r="I40"/>
  <c r="I38"/>
  <c r="H38"/>
  <c r="I36"/>
  <c r="I33" s="1"/>
  <c r="H36"/>
  <c r="H33" s="1"/>
  <c r="H32"/>
  <c r="I32"/>
  <c r="I31"/>
  <c r="H31"/>
  <c r="I26"/>
  <c r="I25" s="1"/>
  <c r="H26"/>
  <c r="H25" s="1"/>
  <c r="I24"/>
  <c r="I23" s="1"/>
  <c r="H24"/>
  <c r="H23" s="1"/>
  <c r="H22"/>
  <c r="I22"/>
  <c r="I21"/>
  <c r="H21"/>
  <c r="I19"/>
  <c r="I18" s="1"/>
  <c r="H19"/>
  <c r="H18" s="1"/>
  <c r="I269"/>
  <c r="I268" s="1"/>
  <c r="I267" s="1"/>
  <c r="I266" s="1"/>
  <c r="I263"/>
  <c r="I262" s="1"/>
  <c r="I260"/>
  <c r="I259" s="1"/>
  <c r="I245"/>
  <c r="I241"/>
  <c r="I236"/>
  <c r="I234"/>
  <c r="I229"/>
  <c r="I226"/>
  <c r="I225" s="1"/>
  <c r="I214"/>
  <c r="I213" s="1"/>
  <c r="I212" s="1"/>
  <c r="I211" s="1"/>
  <c r="I208"/>
  <c r="I207" s="1"/>
  <c r="I205"/>
  <c r="I204" s="1"/>
  <c r="I198"/>
  <c r="I195"/>
  <c r="I192"/>
  <c r="I180"/>
  <c r="I177"/>
  <c r="I174"/>
  <c r="I171"/>
  <c r="I168"/>
  <c r="I158"/>
  <c r="I152"/>
  <c r="I151" s="1"/>
  <c r="I147"/>
  <c r="I141"/>
  <c r="I140" s="1"/>
  <c r="I139" s="1"/>
  <c r="I130" s="1"/>
  <c r="I125"/>
  <c r="I124" s="1"/>
  <c r="I123" s="1"/>
  <c r="I106"/>
  <c r="I105" s="1"/>
  <c r="I100"/>
  <c r="I95"/>
  <c r="I92"/>
  <c r="I79"/>
  <c r="I78" s="1"/>
  <c r="I76"/>
  <c r="I75" s="1"/>
  <c r="H269"/>
  <c r="H268" s="1"/>
  <c r="H267" s="1"/>
  <c r="H266" s="1"/>
  <c r="H263"/>
  <c r="H262" s="1"/>
  <c r="H260"/>
  <c r="H259" s="1"/>
  <c r="H245"/>
  <c r="H241"/>
  <c r="H236"/>
  <c r="H234"/>
  <c r="H229"/>
  <c r="H226"/>
  <c r="H225" s="1"/>
  <c r="H214"/>
  <c r="H213" s="1"/>
  <c r="H212" s="1"/>
  <c r="H211" s="1"/>
  <c r="H208"/>
  <c r="H207" s="1"/>
  <c r="H205"/>
  <c r="H204" s="1"/>
  <c r="H198"/>
  <c r="H195"/>
  <c r="H192"/>
  <c r="H180"/>
  <c r="H177"/>
  <c r="H174"/>
  <c r="H171"/>
  <c r="H168"/>
  <c r="H158"/>
  <c r="H152"/>
  <c r="H151" s="1"/>
  <c r="H147"/>
  <c r="H141"/>
  <c r="H140" s="1"/>
  <c r="H139" s="1"/>
  <c r="H125"/>
  <c r="H124" s="1"/>
  <c r="H123" s="1"/>
  <c r="H106"/>
  <c r="H105" s="1"/>
  <c r="H100"/>
  <c r="H95"/>
  <c r="H92"/>
  <c r="H79"/>
  <c r="H78" s="1"/>
  <c r="H76"/>
  <c r="H75" s="1"/>
  <c r="H131" l="1"/>
  <c r="H130" s="1"/>
  <c r="H228"/>
  <c r="H224" s="1"/>
  <c r="I228"/>
  <c r="I224" s="1"/>
  <c r="I167"/>
  <c r="H167"/>
  <c r="I74"/>
  <c r="H74"/>
  <c r="H46"/>
  <c r="I46"/>
  <c r="H28"/>
  <c r="I28"/>
  <c r="I258"/>
  <c r="I257" s="1"/>
  <c r="I287" s="1"/>
  <c r="H258"/>
  <c r="H257" s="1"/>
  <c r="H287" s="1"/>
  <c r="H91"/>
  <c r="H90" s="1"/>
  <c r="I203"/>
  <c r="I202" s="1"/>
  <c r="H118"/>
  <c r="H117" s="1"/>
  <c r="H146"/>
  <c r="I118"/>
  <c r="I117" s="1"/>
  <c r="I191"/>
  <c r="I61"/>
  <c r="H37"/>
  <c r="H57"/>
  <c r="H61"/>
  <c r="I37"/>
  <c r="I57"/>
  <c r="H20"/>
  <c r="H17" s="1"/>
  <c r="I20"/>
  <c r="I17" s="1"/>
  <c r="I99"/>
  <c r="I98" s="1"/>
  <c r="I91"/>
  <c r="I90" s="1"/>
  <c r="I157"/>
  <c r="I156" s="1"/>
  <c r="I155" s="1"/>
  <c r="H203"/>
  <c r="H202" s="1"/>
  <c r="H157"/>
  <c r="H156" s="1"/>
  <c r="H155" s="1"/>
  <c r="H191"/>
  <c r="H99"/>
  <c r="H98" s="1"/>
  <c r="H498" i="7"/>
  <c r="H363"/>
  <c r="I73" i="18" l="1"/>
  <c r="H73"/>
  <c r="H56"/>
  <c r="H55" s="1"/>
  <c r="I45"/>
  <c r="I44" s="1"/>
  <c r="H45"/>
  <c r="H44" s="1"/>
  <c r="H166"/>
  <c r="H165" s="1"/>
  <c r="I166"/>
  <c r="I165" s="1"/>
  <c r="H145"/>
  <c r="I146"/>
  <c r="I145" s="1"/>
  <c r="I27"/>
  <c r="I16" s="1"/>
  <c r="H27"/>
  <c r="H16" s="1"/>
  <c r="I56"/>
  <c r="I55" s="1"/>
  <c r="H223"/>
  <c r="I223"/>
  <c r="H455" i="7"/>
  <c r="H453"/>
  <c r="H15" i="18" l="1"/>
  <c r="H14" s="1"/>
  <c r="I15"/>
  <c r="I14" s="1"/>
  <c r="H338" i="7"/>
  <c r="H335"/>
  <c r="H332"/>
  <c r="H329"/>
  <c r="H283" i="18" l="1"/>
  <c r="H292" s="1"/>
  <c r="I283"/>
  <c r="I292" s="1"/>
  <c r="H311" i="7"/>
  <c r="H279"/>
  <c r="H278" s="1"/>
  <c r="H277" s="1"/>
  <c r="I285" i="18" l="1"/>
  <c r="I291"/>
  <c r="I288"/>
  <c r="H291"/>
  <c r="H288"/>
  <c r="H285"/>
  <c r="H93" i="7"/>
  <c r="N366" i="19" l="1"/>
  <c r="N433" s="1"/>
  <c r="E51" i="17" s="1"/>
  <c r="E50" s="1"/>
  <c r="M366" i="19"/>
  <c r="M433" s="1"/>
  <c r="D51" i="17" s="1"/>
  <c r="D50" l="1"/>
  <c r="N362" i="19" l="1"/>
  <c r="N359"/>
  <c r="N344"/>
  <c r="N341"/>
  <c r="N338"/>
  <c r="N335"/>
  <c r="N328"/>
  <c r="N327" s="1"/>
  <c r="N326" s="1"/>
  <c r="N325" s="1"/>
  <c r="N324" s="1"/>
  <c r="N323" s="1"/>
  <c r="N317"/>
  <c r="N316" s="1"/>
  <c r="N315" s="1"/>
  <c r="N314" s="1"/>
  <c r="N313" s="1"/>
  <c r="N298"/>
  <c r="N297" s="1"/>
  <c r="N296" s="1"/>
  <c r="N295" s="1"/>
  <c r="N424" s="1"/>
  <c r="E45" i="17" s="1"/>
  <c r="N285" i="19"/>
  <c r="N284" s="1"/>
  <c r="N258"/>
  <c r="N257" s="1"/>
  <c r="N256" s="1"/>
  <c r="N255" s="1"/>
  <c r="N251"/>
  <c r="N250" s="1"/>
  <c r="N249" s="1"/>
  <c r="N241"/>
  <c r="N240" s="1"/>
  <c r="N239" s="1"/>
  <c r="N238" s="1"/>
  <c r="N237" s="1"/>
  <c r="N226"/>
  <c r="N212"/>
  <c r="N204" s="1"/>
  <c r="N199"/>
  <c r="N198" s="1"/>
  <c r="N197" s="1"/>
  <c r="N190"/>
  <c r="N180" s="1"/>
  <c r="N175"/>
  <c r="N173"/>
  <c r="N171"/>
  <c r="N151"/>
  <c r="N150" s="1"/>
  <c r="N133"/>
  <c r="N131"/>
  <c r="N130" s="1"/>
  <c r="N113"/>
  <c r="N112" s="1"/>
  <c r="N111" s="1"/>
  <c r="N110" s="1"/>
  <c r="N109" s="1"/>
  <c r="N86"/>
  <c r="N85" s="1"/>
  <c r="N84" s="1"/>
  <c r="N83" s="1"/>
  <c r="N82" s="1"/>
  <c r="N389" s="1"/>
  <c r="E29" i="17" s="1"/>
  <c r="N80" i="19"/>
  <c r="N79" s="1"/>
  <c r="N77"/>
  <c r="N76" s="1"/>
  <c r="N52"/>
  <c r="N51" s="1"/>
  <c r="N50" s="1"/>
  <c r="N49" s="1"/>
  <c r="N48" s="1"/>
  <c r="N380" s="1"/>
  <c r="E22" i="17" s="1"/>
  <c r="N38" i="19"/>
  <c r="N33"/>
  <c r="N31"/>
  <c r="N22"/>
  <c r="N21" s="1"/>
  <c r="N20" s="1"/>
  <c r="N19" s="1"/>
  <c r="N18" s="1"/>
  <c r="M362"/>
  <c r="M359"/>
  <c r="M344"/>
  <c r="M341"/>
  <c r="M338"/>
  <c r="M335"/>
  <c r="M328"/>
  <c r="M317"/>
  <c r="M298"/>
  <c r="M285"/>
  <c r="M284" s="1"/>
  <c r="M258"/>
  <c r="M257" s="1"/>
  <c r="M251"/>
  <c r="M241"/>
  <c r="M226"/>
  <c r="M212"/>
  <c r="M204" s="1"/>
  <c r="M199"/>
  <c r="M190"/>
  <c r="M175"/>
  <c r="M173"/>
  <c r="M171"/>
  <c r="M151"/>
  <c r="M133"/>
  <c r="M131"/>
  <c r="M113"/>
  <c r="M86"/>
  <c r="M80"/>
  <c r="M77"/>
  <c r="M68"/>
  <c r="M67" s="1"/>
  <c r="M62" s="1"/>
  <c r="M52"/>
  <c r="M38"/>
  <c r="M33"/>
  <c r="M31"/>
  <c r="M22"/>
  <c r="M21" s="1"/>
  <c r="M20" s="1"/>
  <c r="M19" s="1"/>
  <c r="M18" l="1"/>
  <c r="M376" s="1"/>
  <c r="D18" i="17" s="1"/>
  <c r="N68" i="19"/>
  <c r="N67" s="1"/>
  <c r="N62" s="1"/>
  <c r="N61" s="1"/>
  <c r="M76"/>
  <c r="M130"/>
  <c r="M150"/>
  <c r="M180"/>
  <c r="M203"/>
  <c r="M250"/>
  <c r="M297"/>
  <c r="M327"/>
  <c r="M85"/>
  <c r="L26"/>
  <c r="L25" s="1"/>
  <c r="L24" s="1"/>
  <c r="L17" s="1"/>
  <c r="M51"/>
  <c r="M79"/>
  <c r="M112"/>
  <c r="M198"/>
  <c r="M240"/>
  <c r="M316"/>
  <c r="M225"/>
  <c r="M224" s="1"/>
  <c r="N225"/>
  <c r="N224" s="1"/>
  <c r="N223" s="1"/>
  <c r="N222" s="1"/>
  <c r="N27"/>
  <c r="M27"/>
  <c r="M120"/>
  <c r="N179"/>
  <c r="N178" s="1"/>
  <c r="N177" s="1"/>
  <c r="N203"/>
  <c r="N202" s="1"/>
  <c r="N201" s="1"/>
  <c r="N129"/>
  <c r="N128" s="1"/>
  <c r="N127" s="1"/>
  <c r="N126" s="1"/>
  <c r="N125" s="1"/>
  <c r="M170"/>
  <c r="N170"/>
  <c r="N169" s="1"/>
  <c r="N168" s="1"/>
  <c r="N167" s="1"/>
  <c r="M334"/>
  <c r="M333" s="1"/>
  <c r="N272"/>
  <c r="N271" s="1"/>
  <c r="N270" s="1"/>
  <c r="N269" s="1"/>
  <c r="M142"/>
  <c r="N142"/>
  <c r="N141" s="1"/>
  <c r="N140" s="1"/>
  <c r="N248"/>
  <c r="N247" s="1"/>
  <c r="N246" s="1"/>
  <c r="N283"/>
  <c r="N282" s="1"/>
  <c r="N334"/>
  <c r="M272"/>
  <c r="M308"/>
  <c r="N120"/>
  <c r="N119" s="1"/>
  <c r="N118" s="1"/>
  <c r="M355"/>
  <c r="N75"/>
  <c r="N74" s="1"/>
  <c r="N73" s="1"/>
  <c r="N355"/>
  <c r="N354" s="1"/>
  <c r="N353" s="1"/>
  <c r="N352" s="1"/>
  <c r="N376"/>
  <c r="E18" i="17" s="1"/>
  <c r="N149" i="19"/>
  <c r="L16" l="1"/>
  <c r="L15" s="1"/>
  <c r="N166"/>
  <c r="N333"/>
  <c r="N332" s="1"/>
  <c r="N331" s="1"/>
  <c r="N419"/>
  <c r="E42" i="17" s="1"/>
  <c r="N139" i="19"/>
  <c r="N381" s="1"/>
  <c r="N398"/>
  <c r="E32" i="17" s="1"/>
  <c r="N95" i="19"/>
  <c r="N94" s="1"/>
  <c r="N88" s="1"/>
  <c r="N430"/>
  <c r="E49" i="17" s="1"/>
  <c r="E48" s="1"/>
  <c r="N117" i="19"/>
  <c r="N108" s="1"/>
  <c r="N385"/>
  <c r="E26" i="17" s="1"/>
  <c r="N57" i="19"/>
  <c r="N56" s="1"/>
  <c r="N55" s="1"/>
  <c r="M129"/>
  <c r="M223"/>
  <c r="M222" s="1"/>
  <c r="M283"/>
  <c r="M282" s="1"/>
  <c r="M149"/>
  <c r="M179"/>
  <c r="M75"/>
  <c r="M74" s="1"/>
  <c r="L377"/>
  <c r="M84"/>
  <c r="M326"/>
  <c r="M296"/>
  <c r="M249"/>
  <c r="M354"/>
  <c r="M271"/>
  <c r="M141"/>
  <c r="M140" s="1"/>
  <c r="M169"/>
  <c r="M202"/>
  <c r="M119"/>
  <c r="M315"/>
  <c r="M239"/>
  <c r="M197"/>
  <c r="M111"/>
  <c r="M50"/>
  <c r="M26"/>
  <c r="N26"/>
  <c r="N25" s="1"/>
  <c r="N24" s="1"/>
  <c r="N17" s="1"/>
  <c r="N403"/>
  <c r="E36" i="17" s="1"/>
  <c r="N308" i="19"/>
  <c r="N307" s="1"/>
  <c r="N306" s="1"/>
  <c r="N402" s="1"/>
  <c r="M307"/>
  <c r="N438"/>
  <c r="N407"/>
  <c r="E39" i="17" s="1"/>
  <c r="N399" i="19"/>
  <c r="E33" i="17" s="1"/>
  <c r="N400" i="19"/>
  <c r="E34" i="17" s="1"/>
  <c r="M256" i="19"/>
  <c r="M255" s="1"/>
  <c r="N281"/>
  <c r="N280" s="1"/>
  <c r="N379"/>
  <c r="E21" i="17" s="1"/>
  <c r="N236" i="19"/>
  <c r="N388"/>
  <c r="E28" i="17" s="1"/>
  <c r="M25" i="19" l="1"/>
  <c r="M24" s="1"/>
  <c r="M377" s="1"/>
  <c r="D19" i="17" s="1"/>
  <c r="N418" i="19"/>
  <c r="N420" s="1"/>
  <c r="N330"/>
  <c r="N322" s="1"/>
  <c r="N54"/>
  <c r="N384"/>
  <c r="M139"/>
  <c r="M381" s="1"/>
  <c r="N390"/>
  <c r="E30" i="17" s="1"/>
  <c r="E27" s="1"/>
  <c r="N431" i="19"/>
  <c r="N386"/>
  <c r="M128"/>
  <c r="M127" s="1"/>
  <c r="M49"/>
  <c r="M110"/>
  <c r="M238"/>
  <c r="M314"/>
  <c r="M118"/>
  <c r="M201"/>
  <c r="M168"/>
  <c r="M270"/>
  <c r="M73"/>
  <c r="M281"/>
  <c r="M353"/>
  <c r="M248"/>
  <c r="M295"/>
  <c r="M325"/>
  <c r="M83"/>
  <c r="M178"/>
  <c r="M332"/>
  <c r="M331" s="1"/>
  <c r="N377"/>
  <c r="E19" i="17" s="1"/>
  <c r="N254" i="19"/>
  <c r="M306"/>
  <c r="E35" i="17"/>
  <c r="E31" s="1"/>
  <c r="N305" i="19"/>
  <c r="N304" s="1"/>
  <c r="N396"/>
  <c r="N165"/>
  <c r="N422"/>
  <c r="N279"/>
  <c r="C57" i="2"/>
  <c r="C51"/>
  <c r="C41" l="1"/>
  <c r="E41" i="17"/>
  <c r="E40" s="1"/>
  <c r="N391" i="19"/>
  <c r="N72"/>
  <c r="N16" s="1"/>
  <c r="M422"/>
  <c r="D44" i="17" s="1"/>
  <c r="M280" i="19"/>
  <c r="N406"/>
  <c r="N408" s="1"/>
  <c r="N253"/>
  <c r="N245" s="1"/>
  <c r="L396"/>
  <c r="M254"/>
  <c r="M82"/>
  <c r="M324"/>
  <c r="M402" s="1"/>
  <c r="M424"/>
  <c r="D45" i="17" s="1"/>
  <c r="L424" i="19"/>
  <c r="M352"/>
  <c r="L422"/>
  <c r="L388"/>
  <c r="M388"/>
  <c r="D28" i="17" s="1"/>
  <c r="M177" i="19"/>
  <c r="M247"/>
  <c r="M400" s="1"/>
  <c r="D34" i="17" s="1"/>
  <c r="M269" i="19"/>
  <c r="M126"/>
  <c r="M167"/>
  <c r="M166" s="1"/>
  <c r="M117"/>
  <c r="L430"/>
  <c r="L431" s="1"/>
  <c r="M430"/>
  <c r="M313"/>
  <c r="M305" s="1"/>
  <c r="M237"/>
  <c r="M418" s="1"/>
  <c r="M109"/>
  <c r="M379"/>
  <c r="D21" i="17" s="1"/>
  <c r="M61" i="19"/>
  <c r="M48"/>
  <c r="M17" s="1"/>
  <c r="N404"/>
  <c r="N414"/>
  <c r="N425"/>
  <c r="E44" i="17"/>
  <c r="E43" s="1"/>
  <c r="N382" i="19"/>
  <c r="E23" i="17"/>
  <c r="E17" s="1"/>
  <c r="N138" i="19"/>
  <c r="N137" s="1"/>
  <c r="M330" l="1"/>
  <c r="M419"/>
  <c r="D42" i="17" s="1"/>
  <c r="E38"/>
  <c r="E37" s="1"/>
  <c r="M57" i="19"/>
  <c r="M56" s="1"/>
  <c r="M55" s="1"/>
  <c r="L379"/>
  <c r="M253"/>
  <c r="D23" i="17"/>
  <c r="M304" i="19"/>
  <c r="M138"/>
  <c r="M137" s="1"/>
  <c r="M380"/>
  <c r="L385"/>
  <c r="L386" s="1"/>
  <c r="M385"/>
  <c r="M108"/>
  <c r="M236"/>
  <c r="D41" i="17"/>
  <c r="L403" i="19"/>
  <c r="M403"/>
  <c r="D36" i="17" s="1"/>
  <c r="L407" i="19"/>
  <c r="M407"/>
  <c r="D39" i="17" s="1"/>
  <c r="M246" i="19"/>
  <c r="L400"/>
  <c r="L399"/>
  <c r="M399"/>
  <c r="D33" i="17" s="1"/>
  <c r="L425" i="19"/>
  <c r="D49" i="17"/>
  <c r="D48" s="1"/>
  <c r="M431" i="19"/>
  <c r="M398"/>
  <c r="D32" i="17" s="1"/>
  <c r="L398" i="19"/>
  <c r="M125"/>
  <c r="M438"/>
  <c r="L438"/>
  <c r="M323"/>
  <c r="M389"/>
  <c r="L389"/>
  <c r="L391" s="1"/>
  <c r="M406"/>
  <c r="L406"/>
  <c r="N15"/>
  <c r="D26" i="20" s="1"/>
  <c r="D35" i="17"/>
  <c r="N437" i="19"/>
  <c r="N435"/>
  <c r="M54" l="1"/>
  <c r="M384"/>
  <c r="M390"/>
  <c r="M396"/>
  <c r="L414"/>
  <c r="L408"/>
  <c r="D26" i="17"/>
  <c r="M386" i="19"/>
  <c r="M404"/>
  <c r="D31" i="17"/>
  <c r="D38"/>
  <c r="D37" s="1"/>
  <c r="M408" i="19"/>
  <c r="D29" i="17"/>
  <c r="L404" i="19"/>
  <c r="M322"/>
  <c r="M279"/>
  <c r="D43" i="17"/>
  <c r="M425" i="19"/>
  <c r="M414"/>
  <c r="M245"/>
  <c r="D40" i="17"/>
  <c r="M420" i="19"/>
  <c r="D22" i="17"/>
  <c r="D17" s="1"/>
  <c r="M382" i="19"/>
  <c r="M165"/>
  <c r="L380"/>
  <c r="L420"/>
  <c r="N374"/>
  <c r="K14" i="18"/>
  <c r="N442" i="19"/>
  <c r="N436"/>
  <c r="E25" i="17" l="1"/>
  <c r="E24" s="1"/>
  <c r="D25"/>
  <c r="D24" s="1"/>
  <c r="D30"/>
  <c r="D27" s="1"/>
  <c r="M391" i="19"/>
  <c r="M435" s="1"/>
  <c r="M72"/>
  <c r="L382"/>
  <c r="L435" s="1"/>
  <c r="M437"/>
  <c r="L437"/>
  <c r="D15" i="17" l="1"/>
  <c r="E15"/>
  <c r="H15" s="1"/>
  <c r="M16" i="19"/>
  <c r="M15" s="1"/>
  <c r="L436"/>
  <c r="M442"/>
  <c r="L442"/>
  <c r="J14" i="18" l="1"/>
  <c r="C26" i="20"/>
  <c r="G15" i="17"/>
  <c r="M374" i="19"/>
  <c r="M436"/>
  <c r="M724" i="3"/>
  <c r="D45" i="6" s="1"/>
  <c r="G20" i="22"/>
  <c r="D25" i="20" l="1"/>
  <c r="D24" s="1"/>
  <c r="D23" s="1"/>
  <c r="C25" l="1"/>
  <c r="C24" s="1"/>
  <c r="C23" s="1"/>
  <c r="D32" i="15" l="1"/>
  <c r="D37" s="1"/>
  <c r="D22" i="20" l="1"/>
  <c r="D21" s="1"/>
  <c r="D20" s="1"/>
  <c r="D19" s="1"/>
  <c r="D18" s="1"/>
  <c r="D13" s="1"/>
  <c r="H497" i="7" l="1"/>
  <c r="H496" s="1"/>
  <c r="H42" l="1"/>
  <c r="D31" i="6" l="1"/>
  <c r="H310" i="7"/>
  <c r="H309" s="1"/>
  <c r="H126" l="1"/>
  <c r="H124" s="1"/>
  <c r="H17" l="1"/>
  <c r="H16" s="1"/>
  <c r="H41" l="1"/>
  <c r="H38" s="1"/>
  <c r="H292" l="1"/>
  <c r="H291" s="1"/>
  <c r="H378"/>
  <c r="H377" s="1"/>
  <c r="H376" s="1"/>
  <c r="H375" l="1"/>
  <c r="H368" s="1"/>
  <c r="H384"/>
  <c r="H383" s="1"/>
  <c r="H382" s="1"/>
  <c r="H472"/>
  <c r="H471" s="1"/>
  <c r="H464" s="1"/>
  <c r="H237"/>
  <c r="H236" s="1"/>
  <c r="H247"/>
  <c r="H246" s="1"/>
  <c r="H243" s="1"/>
  <c r="H239"/>
  <c r="H238" s="1"/>
  <c r="H448" l="1"/>
  <c r="H495"/>
  <c r="H494" s="1"/>
  <c r="H489" l="1"/>
  <c r="H454"/>
  <c r="H452"/>
  <c r="H447"/>
  <c r="H446" s="1"/>
  <c r="H440"/>
  <c r="H439" s="1"/>
  <c r="H436"/>
  <c r="H435" s="1"/>
  <c r="H451" l="1"/>
  <c r="H491"/>
  <c r="H490" s="1"/>
  <c r="H362"/>
  <c r="H361" s="1"/>
  <c r="H430" l="1"/>
  <c r="H428"/>
  <c r="H419"/>
  <c r="H418" s="1"/>
  <c r="H417" s="1"/>
  <c r="H416" s="1"/>
  <c r="H415" s="1"/>
  <c r="H410"/>
  <c r="H409" s="1"/>
  <c r="H405"/>
  <c r="H404" s="1"/>
  <c r="H403" s="1"/>
  <c r="H402" s="1"/>
  <c r="H401"/>
  <c r="H400" s="1"/>
  <c r="H393"/>
  <c r="H392" s="1"/>
  <c r="H391" s="1"/>
  <c r="H387"/>
  <c r="H386" s="1"/>
  <c r="H360"/>
  <c r="H359"/>
  <c r="H357"/>
  <c r="H356"/>
  <c r="H354"/>
  <c r="H353"/>
  <c r="H339"/>
  <c r="H337" s="1"/>
  <c r="H336"/>
  <c r="H334" s="1"/>
  <c r="H333"/>
  <c r="H331" s="1"/>
  <c r="H330"/>
  <c r="H328" s="1"/>
  <c r="H327" l="1"/>
  <c r="M703" i="3"/>
  <c r="D32" i="6" s="1"/>
  <c r="H408" i="7"/>
  <c r="H407" s="1"/>
  <c r="H390"/>
  <c r="H355"/>
  <c r="H358"/>
  <c r="H352"/>
  <c r="H399"/>
  <c r="H398" s="1"/>
  <c r="H287"/>
  <c r="H286" s="1"/>
  <c r="H270"/>
  <c r="H271"/>
  <c r="H269"/>
  <c r="H255"/>
  <c r="H256"/>
  <c r="H254"/>
  <c r="H249"/>
  <c r="H226"/>
  <c r="H227"/>
  <c r="H225"/>
  <c r="H221"/>
  <c r="H220" s="1"/>
  <c r="H219"/>
  <c r="H196"/>
  <c r="H192"/>
  <c r="H193"/>
  <c r="H191"/>
  <c r="H185"/>
  <c r="H183"/>
  <c r="H182" s="1"/>
  <c r="H176"/>
  <c r="H177"/>
  <c r="H175"/>
  <c r="H173"/>
  <c r="H172"/>
  <c r="H171"/>
  <c r="H285" l="1"/>
  <c r="H190"/>
  <c r="H189" s="1"/>
  <c r="H174"/>
  <c r="H224"/>
  <c r="H223" s="1"/>
  <c r="H222" s="1"/>
  <c r="H253"/>
  <c r="H252" s="1"/>
  <c r="H251" s="1"/>
  <c r="H170"/>
  <c r="H351"/>
  <c r="H326" s="1"/>
  <c r="H268"/>
  <c r="H267" s="1"/>
  <c r="H150"/>
  <c r="H149" s="1"/>
  <c r="H148"/>
  <c r="H147" s="1"/>
  <c r="H142"/>
  <c r="H141" s="1"/>
  <c r="H138"/>
  <c r="H137" s="1"/>
  <c r="H136" s="1"/>
  <c r="H114"/>
  <c r="H115"/>
  <c r="H113"/>
  <c r="H98"/>
  <c r="H97" s="1"/>
  <c r="H84"/>
  <c r="H81" s="1"/>
  <c r="H66"/>
  <c r="H64" s="1"/>
  <c r="H62"/>
  <c r="H61"/>
  <c r="H59"/>
  <c r="H56" s="1"/>
  <c r="H46"/>
  <c r="H32"/>
  <c r="H31" s="1"/>
  <c r="H30"/>
  <c r="H29" s="1"/>
  <c r="H28"/>
  <c r="H27"/>
  <c r="H233"/>
  <c r="H232" s="1"/>
  <c r="H80" l="1"/>
  <c r="H79" s="1"/>
  <c r="H112"/>
  <c r="H169"/>
  <c r="H168" s="1"/>
  <c r="H165"/>
  <c r="H163" s="1"/>
  <c r="H162" s="1"/>
  <c r="H146"/>
  <c r="H145" s="1"/>
  <c r="H26"/>
  <c r="H15" s="1"/>
  <c r="H144" l="1"/>
  <c r="H135" s="1"/>
  <c r="H161"/>
  <c r="M714" i="3" l="1"/>
  <c r="D40" i="6" s="1"/>
  <c r="M715" i="3"/>
  <c r="D41" i="6" s="1"/>
  <c r="H458" i="7"/>
  <c r="H300"/>
  <c r="M716" i="3" l="1"/>
  <c r="H301" i="7"/>
  <c r="H305"/>
  <c r="H302"/>
  <c r="H306"/>
  <c r="H459"/>
  <c r="H457" s="1"/>
  <c r="H304"/>
  <c r="C67" i="2"/>
  <c r="H456" i="7" l="1"/>
  <c r="H299"/>
  <c r="H303"/>
  <c r="H198"/>
  <c r="H197"/>
  <c r="M738" i="3" l="1"/>
  <c r="M741" s="1"/>
  <c r="H298" i="7"/>
  <c r="H195"/>
  <c r="H194" s="1"/>
  <c r="H297" l="1"/>
  <c r="H284" s="1"/>
  <c r="D55" i="6"/>
  <c r="D54" s="1"/>
  <c r="M719" i="3"/>
  <c r="D43" i="6" s="1"/>
  <c r="H188" i="7"/>
  <c r="H218"/>
  <c r="H217" s="1"/>
  <c r="L746" i="3" l="1"/>
  <c r="M704"/>
  <c r="D30" i="6"/>
  <c r="M722" i="3"/>
  <c r="D42" i="6"/>
  <c r="H120" i="7"/>
  <c r="H118"/>
  <c r="H53"/>
  <c r="H49" s="1"/>
  <c r="H63"/>
  <c r="H60" s="1"/>
  <c r="H117"/>
  <c r="H37" l="1"/>
  <c r="H14" s="1"/>
  <c r="H116"/>
  <c r="H111" s="1"/>
  <c r="H110" s="1"/>
  <c r="M731" i="3"/>
  <c r="D50" i="6" s="1"/>
  <c r="D49"/>
  <c r="M732" i="3"/>
  <c r="H13" i="7" l="1"/>
  <c r="M733" i="3"/>
  <c r="D51" i="6"/>
  <c r="D48" s="1"/>
  <c r="H438" i="7"/>
  <c r="H437" s="1"/>
  <c r="H443"/>
  <c r="H442" s="1"/>
  <c r="H235"/>
  <c r="H234" s="1"/>
  <c r="H231" s="1"/>
  <c r="H429"/>
  <c r="H427" s="1"/>
  <c r="H426" l="1"/>
  <c r="M708" i="3"/>
  <c r="D35" i="6"/>
  <c r="D46"/>
  <c r="M711" i="3"/>
  <c r="D38" i="6" s="1"/>
  <c r="D37"/>
  <c r="M684" i="3"/>
  <c r="D18" i="6" s="1"/>
  <c r="D36" l="1"/>
  <c r="M712" i="3"/>
  <c r="D34" i="6"/>
  <c r="M693" i="3" l="1"/>
  <c r="D25" i="6" s="1"/>
  <c r="M697" i="3"/>
  <c r="D28" i="6" s="1"/>
  <c r="M696" i="3"/>
  <c r="D27" i="6" s="1"/>
  <c r="D33"/>
  <c r="M727" i="3"/>
  <c r="H488" i="7"/>
  <c r="M688" i="3"/>
  <c r="D21" i="6" s="1"/>
  <c r="H484" i="7"/>
  <c r="H483" s="1"/>
  <c r="H482" s="1"/>
  <c r="H487"/>
  <c r="M699" i="3" l="1"/>
  <c r="D26" i="6"/>
  <c r="M692" i="3"/>
  <c r="M728"/>
  <c r="M745" s="1"/>
  <c r="D47" i="6"/>
  <c r="D44" s="1"/>
  <c r="H486" i="7"/>
  <c r="H485" s="1"/>
  <c r="H481" s="1"/>
  <c r="H480" s="1"/>
  <c r="H514" s="1"/>
  <c r="D24" i="6" l="1"/>
  <c r="D23" s="1"/>
  <c r="M694" i="3"/>
  <c r="H397" i="7"/>
  <c r="H389"/>
  <c r="H385"/>
  <c r="H381" s="1"/>
  <c r="H380" s="1"/>
  <c r="H248"/>
  <c r="H242" s="1"/>
  <c r="H216"/>
  <c r="H215" s="1"/>
  <c r="H184"/>
  <c r="H181"/>
  <c r="H325" l="1"/>
  <c r="H230"/>
  <c r="H229" s="1"/>
  <c r="H180"/>
  <c r="H179" s="1"/>
  <c r="H266"/>
  <c r="C14" i="4"/>
  <c r="H265" i="7" l="1"/>
  <c r="H134"/>
  <c r="M686" i="3" l="1"/>
  <c r="C36" i="5"/>
  <c r="H214" i="7"/>
  <c r="D20" i="6" l="1"/>
  <c r="D39" l="1"/>
  <c r="C40" i="2" l="1"/>
  <c r="C39" s="1"/>
  <c r="C14" s="1"/>
  <c r="C13" s="1"/>
  <c r="C35" i="5" l="1"/>
  <c r="C32" s="1"/>
  <c r="C31" s="1"/>
  <c r="C32" i="15"/>
  <c r="C37" s="1"/>
  <c r="C22" i="20" s="1"/>
  <c r="C21" l="1"/>
  <c r="C20" s="1"/>
  <c r="C19" s="1"/>
  <c r="H425" i="7"/>
  <c r="H424" s="1"/>
  <c r="H423" s="1"/>
  <c r="H422" s="1"/>
  <c r="C39" i="5" l="1"/>
  <c r="C18" i="20"/>
  <c r="C13" s="1"/>
  <c r="H421" i="7"/>
  <c r="H12" s="1"/>
  <c r="M683" i="3"/>
  <c r="C24" i="8" l="1"/>
  <c r="C23" s="1"/>
  <c r="C22" s="1"/>
  <c r="H510" i="7"/>
  <c r="H516" s="1"/>
  <c r="H515" s="1"/>
  <c r="D17" i="6"/>
  <c r="H512" i="7" l="1"/>
  <c r="L292" i="3"/>
  <c r="L291" s="1"/>
  <c r="L290" s="1"/>
  <c r="L259" s="1"/>
  <c r="M259"/>
  <c r="M258" s="1"/>
  <c r="L258" l="1"/>
  <c r="L689" s="1"/>
  <c r="L690" s="1"/>
  <c r="L743" s="1"/>
  <c r="M689"/>
  <c r="M257"/>
  <c r="M256" s="1"/>
  <c r="M13" s="1"/>
  <c r="J12" i="7" l="1"/>
  <c r="C29" i="8"/>
  <c r="C28" s="1"/>
  <c r="C27" s="1"/>
  <c r="C26" s="1"/>
  <c r="C21" s="1"/>
  <c r="C14" s="1"/>
  <c r="L257" i="3"/>
  <c r="L256" s="1"/>
  <c r="L13" s="1"/>
  <c r="L748"/>
  <c r="D22" i="6"/>
  <c r="D16" s="1"/>
  <c r="D14" s="1"/>
  <c r="F14" s="1"/>
  <c r="M690" i="3"/>
  <c r="M743" s="1"/>
  <c r="L744" l="1"/>
  <c r="M748"/>
  <c r="M744"/>
</calcChain>
</file>

<file path=xl/sharedStrings.xml><?xml version="1.0" encoding="utf-8"?>
<sst xmlns="http://schemas.openxmlformats.org/spreadsheetml/2006/main" count="13057" uniqueCount="908">
  <si>
    <t>Апшеронский район от___________№___</t>
  </si>
  <si>
    <t>Код бюджетной классификации Российской Федерации</t>
  </si>
  <si>
    <t>главного администратора доходов и источников финансирования дефицита районного бюджета</t>
  </si>
  <si>
    <t>доходов и источников финансирования дефицита районного бюджета</t>
  </si>
  <si>
    <t>Администрация муниципального образования Апшеронский район</t>
  </si>
  <si>
    <t>1 08 07150 01 0000 110</t>
  </si>
  <si>
    <t>1 13 02995 05 0000 130</t>
  </si>
  <si>
    <t>Прочие доходы от компенсации затрат бюджетов муниципальных районов*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</si>
  <si>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</si>
  <si>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 выгодоприобретателями выступают получатели средств  бюджетов муниципальных районов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</si>
  <si>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</si>
  <si>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</si>
  <si>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</si>
  <si>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902</t>
  </si>
  <si>
    <t>1 17 05050 05 0000 180</t>
  </si>
  <si>
    <t>Прочие неналоговые доходы бюджетов муниципальных районов*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</si>
  <si>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</si>
  <si>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</si>
  <si>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</si>
  <si>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</si>
  <si>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</si>
  <si>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Получение кредитов от кредитных организаций  бюджетами муниципальных районов в валюте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</si>
  <si>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</si>
  <si>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</si>
  <si>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</si>
  <si>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</si>
  <si>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</si>
  <si>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</si>
  <si>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</si>
  <si>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</si>
  <si>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</si>
  <si>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</si>
  <si>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</si>
  <si>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</si>
  <si>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</si>
  <si>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</si>
  <si>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</si>
  <si>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</si>
  <si>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</si>
  <si>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</si>
  <si>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</si>
  <si>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</si>
  <si>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</si>
  <si>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</si>
  <si>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</si>
  <si>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</si>
  <si>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</si>
  <si>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</si>
  <si>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</si>
  <si>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</si>
  <si>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</si>
  <si>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</si>
  <si>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</si>
  <si>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</si>
  <si>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Управление образования администрации муниципального образования Апшеронский район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</si>
  <si>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</si>
  <si>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</si>
  <si>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</si>
  <si>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</si>
  <si>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</si>
  <si>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</si>
  <si>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</si>
  <si>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</si>
  <si>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</si>
  <si>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</si>
  <si>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</si>
  <si>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</si>
  <si>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</si>
  <si>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</si>
  <si>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</si>
  <si>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</si>
  <si>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</si>
  <si>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</si>
  <si>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</si>
  <si>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</si>
  <si>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</si>
  <si>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</si>
  <si>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</si>
  <si>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</si>
  <si>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</si>
  <si>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</si>
  <si>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</si>
  <si>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</si>
  <si>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</si>
  <si>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</si>
  <si>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</si>
  <si>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</si>
  <si>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</si>
  <si>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</si>
  <si>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</si>
  <si>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</si>
  <si>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</si>
  <si>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</si>
  <si>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</si>
  <si>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</si>
  <si>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</si>
  <si>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</si>
  <si>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</si>
  <si>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</si>
  <si>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</si>
  <si>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</si>
  <si>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</si>
  <si>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</si>
  <si>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</si>
  <si>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</si>
  <si>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</si>
  <si>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</si>
  <si>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</si>
  <si>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</si>
  <si>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</si>
  <si>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</si>
  <si>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</si>
  <si>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</si>
  <si>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</si>
  <si>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</si>
  <si>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</si>
  <si>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</si>
  <si>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</si>
  <si>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</si>
  <si>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</si>
  <si>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</si>
  <si>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</si>
  <si>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</si>
  <si>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</si>
  <si>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Непрограммные направления деятельности органов местного самоуправления</t>
  </si>
  <si>
    <t>99</t>
  </si>
  <si>
    <t>Финансовое обеспечение непредвиденных расходов</t>
  </si>
  <si>
    <t>Резервные фонды местных администраций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</si>
  <si>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</si>
  <si>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</si>
  <si>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</si>
  <si>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</si>
  <si>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</si>
  <si>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</si>
  <si>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</si>
  <si>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</si>
  <si>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</si>
  <si>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</si>
  <si>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</si>
  <si>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</si>
  <si>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</si>
  <si>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</si>
  <si>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</si>
  <si>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</si>
  <si>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</si>
  <si>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</si>
  <si>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</si>
  <si>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</si>
  <si>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</si>
  <si>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</si>
  <si>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</si>
  <si>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</si>
  <si>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</si>
  <si>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</si>
  <si>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</si>
  <si>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</si>
  <si>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</si>
  <si>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</si>
  <si>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60090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</si>
  <si>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</si>
  <si>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</si>
  <si>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</si>
  <si>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</si>
  <si>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</si>
  <si>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</si>
  <si>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</si>
  <si>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</si>
  <si>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</si>
  <si>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</si>
  <si>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</si>
  <si>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</si>
  <si>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</si>
  <si>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</si>
  <si>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</si>
  <si>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</si>
  <si>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</si>
  <si>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</si>
  <si>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</si>
  <si>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</si>
  <si>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</si>
  <si>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</si>
  <si>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</si>
  <si>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</si>
  <si>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</si>
  <si>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</si>
  <si>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</si>
  <si>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</si>
  <si>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</si>
  <si>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</si>
  <si>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</si>
  <si>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</si>
  <si>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№п/п</t>
  </si>
  <si>
    <t>Наименование поселений</t>
  </si>
  <si>
    <t>в том числе на решение вопросов местного значения</t>
  </si>
  <si>
    <t>комплектова-ние библиотеч-ных фондов библиотек поселения</t>
  </si>
  <si>
    <t>осуществление внешнего муниципаль-ного финансового контроля</t>
  </si>
  <si>
    <t xml:space="preserve">  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</si>
  <si>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</si>
  <si>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</si>
  <si>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</si>
  <si>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</si>
  <si>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Председатель Контрольно-счетной палаты муниципального образования</t>
  </si>
  <si>
    <t>Непрограммные расходы в рамках обеспечения деятельности Контрольно-счетной палаты муниципального образования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</si>
  <si>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</si>
  <si>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</si>
  <si>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</si>
  <si>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</si>
  <si>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</si>
  <si>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</si>
  <si>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</si>
  <si>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</si>
  <si>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</si>
  <si>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</si>
  <si>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</si>
  <si>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</si>
  <si>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</si>
  <si>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</si>
  <si>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</si>
  <si>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</si>
  <si>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</si>
  <si>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</si>
  <si>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</si>
  <si>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</si>
  <si>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1 11 07015 05 0000 120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</si>
  <si>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</si>
  <si>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</si>
  <si>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</si>
  <si>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</si>
  <si>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</si>
  <si>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</si>
  <si>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</si>
  <si>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</si>
  <si>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</si>
  <si>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</si>
  <si>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</si>
  <si>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</si>
  <si>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</si>
  <si>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</si>
  <si>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</si>
  <si>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</si>
  <si>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</si>
  <si>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</si>
  <si>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</si>
  <si>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</si>
  <si>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</si>
  <si>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</si>
  <si>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</si>
  <si>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</si>
  <si>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</si>
  <si>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</si>
  <si>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</si>
  <si>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</si>
  <si>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</si>
  <si>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</si>
  <si>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</si>
  <si>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</si>
  <si>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</si>
  <si>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</si>
  <si>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</si>
  <si>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</si>
  <si>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</si>
  <si>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</si>
  <si>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</si>
  <si>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</si>
  <si>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</si>
  <si>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</si>
  <si>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</si>
  <si>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</si>
  <si>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</si>
  <si>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</si>
  <si>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</si>
  <si>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</si>
  <si>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</si>
  <si>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</si>
  <si>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</si>
  <si>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</si>
  <si>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</si>
  <si>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</si>
  <si>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</si>
  <si>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</si>
  <si>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</si>
  <si>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</si>
  <si>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</si>
  <si>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</si>
  <si>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</si>
  <si>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</si>
  <si>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</si>
  <si>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</si>
  <si>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Мероприятия по профилактике детского дорожно-транспортного травматизма в муниципальных образовательных учреждениях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</si>
  <si>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</si>
  <si>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</si>
  <si>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</si>
  <si>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</si>
  <si>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</si>
  <si>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</si>
  <si>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</si>
  <si>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</si>
  <si>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</si>
  <si>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</si>
  <si>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</si>
  <si>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</si>
  <si>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</si>
  <si>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</si>
  <si>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</si>
  <si>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</si>
  <si>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</si>
  <si>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</si>
  <si>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</si>
  <si>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</si>
  <si>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</si>
  <si>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</si>
  <si>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</si>
  <si>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</si>
  <si>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</si>
  <si>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</si>
  <si>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</si>
  <si>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</si>
  <si>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</si>
  <si>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</si>
  <si>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</si>
  <si>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</si>
  <si>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</si>
  <si>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</si>
  <si>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</si>
  <si>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</si>
  <si>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</si>
  <si>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</si>
  <si>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</si>
  <si>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</si>
  <si>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</si>
  <si>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</si>
  <si>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</si>
  <si>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</si>
  <si>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</si>
  <si>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</si>
  <si>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</si>
  <si>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</si>
  <si>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</si>
  <si>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</si>
  <si>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</si>
  <si>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</si>
  <si>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</si>
  <si>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</si>
  <si>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</si>
  <si>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</si>
  <si>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</si>
  <si>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</si>
  <si>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</si>
  <si>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</si>
  <si>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привлечение</t>
  </si>
  <si>
    <t>погашение основной суммы долга</t>
  </si>
  <si>
    <t>Бюджетные кредиты,  привлеченные в бюджет  муниципального образования  Апшеронский район от других  бюджетов бюджетной системы Российской Федерации, всего</t>
  </si>
  <si>
    <t xml:space="preserve">Программа муниципальных гарантий муниципального образования Апшеронский район  </t>
  </si>
  <si>
    <t>Категории принципалов</t>
  </si>
  <si>
    <t>Объем гарантий,  тыс.рублей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</si>
  <si>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</si>
  <si>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</si>
  <si>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</si>
  <si>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</si>
  <si>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</si>
  <si>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</si>
  <si>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 xml:space="preserve">          Объем, тыс.рублей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</si>
  <si>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</si>
  <si>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</si>
  <si>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</si>
  <si>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</si>
  <si>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</si>
  <si>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</si>
  <si>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</si>
  <si>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</si>
  <si>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</si>
  <si>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</si>
  <si>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925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</si>
  <si>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</si>
  <si>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</si>
  <si>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</si>
  <si>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</si>
  <si>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</si>
  <si>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</si>
  <si>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</si>
  <si>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</si>
  <si>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10220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</si>
  <si>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</si>
  <si>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</si>
  <si>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</si>
  <si>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</si>
  <si>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</si>
  <si>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</si>
  <si>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</si>
  <si>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</si>
  <si>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</si>
  <si>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</si>
  <si>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</si>
  <si>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</si>
  <si>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</si>
  <si>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</si>
  <si>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</si>
  <si>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</si>
  <si>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</si>
  <si>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</si>
  <si>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</si>
  <si>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</si>
  <si>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</si>
  <si>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</si>
  <si>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</si>
  <si>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</si>
  <si>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</si>
  <si>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</si>
  <si>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</si>
  <si>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</si>
  <si>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</si>
  <si>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</si>
  <si>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</si>
  <si>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</si>
  <si>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</si>
  <si>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</si>
  <si>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</si>
  <si>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921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</si>
  <si>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</si>
  <si>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</si>
  <si>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</si>
  <si>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</si>
  <si>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</si>
  <si>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</si>
  <si>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</si>
  <si>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</si>
  <si>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</si>
  <si>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</si>
  <si>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</si>
  <si>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</si>
  <si>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</si>
  <si>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</si>
  <si>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 xml:space="preserve">Государственная пошлина  за выдачу разрешения на установку рекламной конструкции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</si>
  <si>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</si>
  <si>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01 02 00 00 05 0000 710</t>
  </si>
  <si>
    <t>1 11 02085 05 0000 120</t>
  </si>
  <si>
    <t>1 11 05075 05 0000 120</t>
  </si>
  <si>
    <t>1 14 02053 05 0000 440</t>
  </si>
  <si>
    <t xml:space="preserve">* В том числе по видам и подвидам доходов.  </t>
  </si>
  <si>
    <t xml:space="preserve">Наименование </t>
  </si>
  <si>
    <t>Перечень главных администраторов доходов районного бюджета и закрепляемые за ними                                                                                                                                                                                                                              виды (подвиды) доходов районного бюджета и перечень главных администраторов                                                                                                                                                                                                                                                     источников финансирования дефицита районного бюджета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</si>
  <si>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</si>
  <si>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</si>
  <si>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</si>
  <si>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</si>
  <si>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</si>
  <si>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</si>
  <si>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</si>
  <si>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</si>
  <si>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</si>
  <si>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</si>
  <si>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</si>
  <si>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</si>
  <si>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</si>
  <si>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 xml:space="preserve"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 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</si>
  <si>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</si>
  <si>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</si>
  <si>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</si>
  <si>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</si>
  <si>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</si>
  <si>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</si>
  <si>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</si>
  <si>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</si>
  <si>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</si>
  <si>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</si>
  <si>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</si>
  <si>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</si>
  <si>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</si>
  <si>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</si>
  <si>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</si>
  <si>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</si>
  <si>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</si>
  <si>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</si>
  <si>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</si>
  <si>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</si>
  <si>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>11430</t>
  </si>
  <si>
    <t>Другие вопросы в области жилищно-коммунального хозяйства</t>
  </si>
  <si>
    <t>Реализация полномочий органов местного самоуправления в соответствии с жилищным законодательством</t>
  </si>
  <si>
    <t>11870</t>
  </si>
  <si>
    <t>0505</t>
  </si>
  <si>
    <t>Иные межбюджетные трансферты бюджетам поселений</t>
  </si>
  <si>
    <t>Муниципальная программа муниципального образования Апшеронский район «Развитие топливно-энергетического комплекса и жилищно-коммунального хозяйства»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</si>
  <si>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</si>
  <si>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</si>
  <si>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</si>
  <si>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</si>
  <si>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11110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</si>
  <si>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</si>
  <si>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</si>
  <si>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</si>
  <si>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</si>
  <si>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</si>
  <si>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</si>
  <si>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</si>
  <si>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</si>
  <si>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</si>
  <si>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</si>
  <si>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</si>
  <si>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</si>
  <si>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</si>
  <si>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</si>
  <si>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</si>
  <si>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</si>
  <si>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</si>
  <si>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</si>
  <si>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60590</t>
  </si>
  <si>
    <t>Реализация мероприятий государственной программы Краснодарского края "Дети Кубани"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</si>
  <si>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</si>
  <si>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</si>
  <si>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</si>
  <si>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</si>
  <si>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</si>
  <si>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</si>
  <si>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</si>
  <si>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</si>
  <si>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2019 год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</si>
  <si>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</si>
  <si>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</si>
  <si>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</si>
  <si>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</si>
  <si>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</si>
  <si>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</si>
  <si>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</si>
  <si>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</si>
  <si>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</si>
  <si>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</si>
  <si>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</si>
  <si>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 xml:space="preserve">Выплата пенсии за выслугу лет лицам, замещавшим муниципальные должности и муниципальные должности муниципальной службы в органах местного самоуправления 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</si>
  <si>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</si>
  <si>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</si>
  <si>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</si>
  <si>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</si>
  <si>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</si>
  <si>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</si>
  <si>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</si>
  <si>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</si>
  <si>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</si>
  <si>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</si>
  <si>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</si>
  <si>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</si>
  <si>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</si>
  <si>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Содействие развитию спортивных организаций</t>
  </si>
  <si>
    <t>Меры государственной поддержки лиц, замещавших муниципальные должности и муниципальные должности муниципальной службы муниципального образования Апшеронский район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</si>
  <si>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</si>
  <si>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</si>
  <si>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61020</t>
  </si>
  <si>
    <t>Условно утвержденные расходы</t>
  </si>
  <si>
    <t>% УУР</t>
  </si>
  <si>
    <t>УУР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</si>
  <si>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</si>
  <si>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</si>
  <si>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</si>
  <si>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 xml:space="preserve">Денежные взыскания  (штрафы)  за нарушение   условий    договоров (соглашений)  о   предоставлении бюджетных   кредитов   за   счет средств  бюджетов  муниципальных районов
</t>
  </si>
  <si>
    <t>1 14 06025 05 0000 430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</si>
  <si>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</si>
  <si>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</si>
  <si>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</si>
  <si>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 xml:space="preserve">Программа муниципальных заимствований муниципального </t>
  </si>
  <si>
    <t>Вид заимствований</t>
  </si>
  <si>
    <t xml:space="preserve">  Направление (цель)       гарантирова-ния</t>
  </si>
  <si>
    <t>обеспечение исполнения обязательств принципала перед гарантом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</si>
  <si>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</si>
  <si>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</si>
  <si>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</si>
  <si>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</si>
  <si>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</si>
  <si>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</si>
  <si>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</si>
  <si>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</si>
  <si>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 учетом изменений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</si>
  <si>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</si>
  <si>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</si>
  <si>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</si>
  <si>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</si>
  <si>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</si>
  <si>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20030</t>
  </si>
  <si>
    <t>Осуществление части полномочий по исполнению бюджета поселения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</si>
  <si>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</si>
  <si>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</si>
  <si>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</si>
  <si>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</si>
  <si>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Прочие обязательства муниципального образования</t>
  </si>
  <si>
    <t>Субсидия бюджетам муниципальных районов на поддержку отрасли культуры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</si>
  <si>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</si>
  <si>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</si>
  <si>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</si>
  <si>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</si>
  <si>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</si>
  <si>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</si>
  <si>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</si>
  <si>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</si>
  <si>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2020 год</t>
  </si>
  <si>
    <t xml:space="preserve">                                Приложение № 6 к решению Совета муниципального образования</t>
  </si>
  <si>
    <t>исполнение бюджета поселения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</si>
  <si>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</si>
  <si>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</si>
  <si>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адм.</t>
  </si>
  <si>
    <t xml:space="preserve">субвенции на осуществление отдельных государственных полномочий по строительству, в том числе в рамках реализации региональной программы "Модернизация здравоохранения Краснодарского края на 2011-2017 годы",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</t>
  </si>
  <si>
    <t>УИО</t>
  </si>
  <si>
    <t>РУО</t>
  </si>
  <si>
    <t>ОВСиД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</si>
  <si>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</si>
  <si>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</si>
  <si>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
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</si>
  <si>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</si>
  <si>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</si>
  <si>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изменения</t>
  </si>
  <si>
    <t>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</si>
  <si>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</si>
  <si>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</si>
  <si>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</si>
  <si>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</si>
  <si>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</si>
  <si>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</si>
  <si>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</si>
  <si>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</si>
  <si>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</si>
  <si>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Иные межбюджетные трансферты на реализацию полномочий органов местного самоуправления в сфере архитектуры и градостроительства</t>
  </si>
  <si>
    <t>09020</t>
  </si>
  <si>
    <t>Осуществление муниципальными учреждениями капитального ремонта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</si>
  <si>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</si>
  <si>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</si>
  <si>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</si>
  <si>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</si>
  <si>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</si>
  <si>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</si>
  <si>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</si>
  <si>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</si>
  <si>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</si>
  <si>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</si>
  <si>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</si>
  <si>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</si>
  <si>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</si>
  <si>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</si>
  <si>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</si>
  <si>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</si>
  <si>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</si>
  <si>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</si>
  <si>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</si>
  <si>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</si>
  <si>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S0590</t>
  </si>
  <si>
    <t>О.В.Чуйко</t>
  </si>
  <si>
    <t>0105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</si>
  <si>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</si>
  <si>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</si>
  <si>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</si>
  <si>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</si>
  <si>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</si>
  <si>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</si>
  <si>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</si>
  <si>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</si>
  <si>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</si>
  <si>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</si>
  <si>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</si>
  <si>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</si>
  <si>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</si>
  <si>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</si>
  <si>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</si>
  <si>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</si>
  <si>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</si>
  <si>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</si>
  <si>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</si>
  <si>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</si>
  <si>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</si>
  <si>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</si>
  <si>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</si>
  <si>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</si>
  <si>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</si>
  <si>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</si>
  <si>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</si>
  <si>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</si>
  <si>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</si>
  <si>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</si>
  <si>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</si>
  <si>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</si>
  <si>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</si>
  <si>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</si>
  <si>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</si>
  <si>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</si>
  <si>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</si>
  <si>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</si>
  <si>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</si>
  <si>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</si>
  <si>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</si>
  <si>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</si>
  <si>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</si>
  <si>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</si>
  <si>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</si>
  <si>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</si>
  <si>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</si>
  <si>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</si>
  <si>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</si>
  <si>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</si>
  <si>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</si>
  <si>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</si>
  <si>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</si>
  <si>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60740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</si>
  <si>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</si>
  <si>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</si>
  <si>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</si>
  <si>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</si>
  <si>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</si>
  <si>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</si>
  <si>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</si>
  <si>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</si>
  <si>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</si>
  <si>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</si>
  <si>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</si>
  <si>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</si>
  <si>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</si>
  <si>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2 02 20051 05 0000 150</t>
  </si>
  <si>
    <t>2 02 30029 05 0000 150</t>
  </si>
  <si>
    <t>2 02 25519 05 0000 150</t>
  </si>
  <si>
    <t>2 02 30027 05 0000 150</t>
  </si>
  <si>
    <t>Объем поступлений доходов в районный бюджет по кодам видов (подвидов) доходов на 2019 год</t>
  </si>
  <si>
    <t>Объем поступлений доходов в районный бюджет по кодам видов (подвидов) доходов на 2020 и 2021 годы</t>
  </si>
  <si>
    <t>2021 год</t>
  </si>
  <si>
    <t>Безвозмездные поступления из краевого бюджета в 2019 году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</si>
  <si>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</si>
  <si>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</si>
  <si>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</si>
  <si>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</si>
  <si>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</si>
  <si>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</si>
  <si>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</si>
  <si>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</si>
  <si>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</si>
  <si>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2 18 60010 05 0000 150</t>
  </si>
  <si>
    <t>2 18 05010 05 0000 150</t>
  </si>
  <si>
    <t>2 19 60010 05 0000 150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</si>
  <si>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</si>
  <si>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</si>
  <si>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</si>
  <si>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муниципальные дошкольные образовательные организации, общеобразовательные организации, организации дополнительного образования (в области образования)</t>
  </si>
  <si>
    <t>Безвозмездные поступления из бюджетов поселений на осуществление части полномочий по решению вопросов местного значения в соответствии с заключенными соглашениями в 2019 году</t>
  </si>
  <si>
    <t>Безвозмездные поступления из краевого бюджета в 2020 и 2021 годах</t>
  </si>
  <si>
    <t xml:space="preserve">субсидии на организацию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</t>
  </si>
  <si>
    <t>Доходы от оказания платных услуг и компенсации затрат государства*</t>
  </si>
  <si>
    <t>2 07 05010 05 0000 150</t>
  </si>
  <si>
    <t>2 07 05020 05 0000 150</t>
  </si>
  <si>
    <t>2 07 05030 05 0000 150</t>
  </si>
  <si>
    <t>2 08 05000 05 0000 150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</si>
  <si>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</si>
  <si>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</si>
  <si>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2019 год и на плановый период 2020 и 2021 годов</t>
  </si>
  <si>
    <t>(процентов)</t>
  </si>
  <si>
    <t>Доходы от оказания платных услуг и компенсации затрат государства</t>
  </si>
  <si>
    <t>классификации расходов бюджетов на 2019 год</t>
  </si>
  <si>
    <t>классификации расходов бюджетов на 2020 и 2021 годы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</si>
  <si>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2019 год</t>
  </si>
  <si>
    <t xml:space="preserve">                                Приложение № 11 к решению Совета муниципального образования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</si>
  <si>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и 2021 годы</t>
  </si>
  <si>
    <t>Ведомственная структура расходов районного бюджета на 2019 год</t>
  </si>
  <si>
    <t xml:space="preserve">                                Приложение № 12 к решению Совета муниципального образования</t>
  </si>
  <si>
    <t>Ведомственная структура расходов районного бюджета на 2020 и 2021 годы</t>
  </si>
  <si>
    <t xml:space="preserve">                                Приложение № 14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</si>
  <si>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2019 год</t>
  </si>
  <si>
    <t xml:space="preserve">                                Приложение № 15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</si>
  <si>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2020 и 2021 годы</t>
  </si>
  <si>
    <t xml:space="preserve">                                Приложение № 16 к решению Совета муниципального образования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</si>
  <si>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2019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</si>
  <si>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2020 и 2021 годы</t>
  </si>
  <si>
    <t>Объем и распределение                                                                                                                                   между поселениями дотаций на выравнивание бюджетной обеспеченности поселений на 2019 год</t>
  </si>
  <si>
    <t>Приложение № 19 к решению Совета муниципального образования</t>
  </si>
  <si>
    <t>Объем и распределение                                                                                                        между поселениями дотаций на выравнивание бюджетной обеспеченности поселений на 2020 и 2021 годы</t>
  </si>
  <si>
    <t xml:space="preserve">                                Приложение № 20 к решению Совета муниципального образования</t>
  </si>
  <si>
    <t>образования Апшеронский  район на 2019 год и на плановый период 2020 и 2021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</si>
  <si>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район на 2019 год</t>
    </r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</si>
  <si>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 район на 2020 и 2021 годы</t>
    </r>
  </si>
  <si>
    <t>Приложение № 21 к решению Совета муниципального образования</t>
  </si>
  <si>
    <t>в валюте Российской Федерации на 2019 год и на плановый период 2020 и 2021 годов</t>
  </si>
  <si>
    <t>Раздел 1. Перечень подлежащих предоставлению муниципальных гарантий муниципального образования Апшеронский район в 2019 году и в плановом периоде 2020 и 2021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</si>
  <si>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случаям, в 2019 году и в плановом периоде 2020 и 2021 годов</t>
  </si>
  <si>
    <t xml:space="preserve">Департамент потребительской сферы и регулирования рынка алкоголя Краснодарского края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</si>
  <si>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</si>
  <si>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экономики Краснодарского края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</si>
  <si>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</si>
  <si>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</si>
  <si>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Министерство сельского хозяйства и перерабатывающей промышленности Краснодарского края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</si>
  <si>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</si>
  <si>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 xml:space="preserve">Департамент имущественных отношений Краснодарского края </t>
  </si>
  <si>
    <t>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</si>
  <si>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 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</si>
  <si>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</si>
  <si>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</si>
  <si>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</si>
  <si>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</si>
  <si>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</si>
  <si>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</si>
  <si>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</si>
  <si>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</si>
  <si>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</si>
  <si>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</si>
  <si>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</si>
  <si>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</si>
  <si>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</si>
  <si>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</si>
  <si>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</si>
  <si>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</si>
  <si>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</si>
  <si>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</si>
  <si>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</si>
  <si>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</si>
  <si>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</si>
  <si>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</si>
  <si>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7 к решению Совета муниципального образования</t>
  </si>
  <si>
    <t xml:space="preserve">За счет источников финансирования дефицита районного бюджета, всего   </t>
  </si>
  <si>
    <t>10700</t>
  </si>
  <si>
    <t>Осуществление переданных государственных полномочий по строительству и реконструкции объектов здравоохранения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</si>
  <si>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</si>
  <si>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</si>
  <si>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2 02 40000 00 0000 150</t>
  </si>
  <si>
    <t>Меры социальной поддержки отдельным категориям работников здравоохранения</t>
  </si>
  <si>
    <t>Пособия, компенсации, меры социальной поддержки по публичным нормативным обязательствам</t>
  </si>
  <si>
    <t xml:space="preserve">Компенсация за наём жилых помещений отдельным категориям работников, являющихся работниками учреждений здравоохранения </t>
  </si>
  <si>
    <t>10130</t>
  </si>
  <si>
    <t>до изменений (скрыть)</t>
  </si>
  <si>
    <t>Апшеронский район от 27.12.2018 № 286</t>
  </si>
  <si>
    <t>11860</t>
  </si>
  <si>
    <t>Содержание муниципального архива</t>
  </si>
  <si>
    <t>С0820</t>
  </si>
  <si>
    <t xml:space="preserve">                                Приложение № 7 к решению Совета муниципального образования</t>
  </si>
  <si>
    <t>00400</t>
  </si>
  <si>
    <t>Мероприятия по организации отдыха детей в каникулярное время</t>
  </si>
  <si>
    <t>L5190</t>
  </si>
  <si>
    <t>S0060</t>
  </si>
  <si>
    <t>Поддержка отрасли культуры</t>
  </si>
  <si>
    <t>Мероприятия по предупреждению и ликвидации чрезвычайных ситуаций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</si>
  <si>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</si>
  <si>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</si>
  <si>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Субсидия бюджетам на поддержку отрасли культуры</t>
  </si>
  <si>
    <t>ОК</t>
  </si>
  <si>
    <t>2 02 25519 00 0000 150</t>
  </si>
  <si>
    <t>1 13 02065 05 0000 130</t>
  </si>
  <si>
    <t xml:space="preserve">субсидии в целях софинансирования расходных обязательств муниципальных образований Краснодарского края по участию в предупреждении и ликвидации чрезвычайной ситуации 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</si>
  <si>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</si>
  <si>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</si>
  <si>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</si>
  <si>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</si>
  <si>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Е1</t>
  </si>
  <si>
    <t>51690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</si>
  <si>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</si>
  <si>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Федеральный проект "Современная школа"</t>
  </si>
  <si>
    <t>S0600</t>
  </si>
  <si>
    <t>Реализация мероприятий государственной программы Краснодарского края "Развитие образования"</t>
  </si>
  <si>
    <t>S2620</t>
  </si>
  <si>
    <t xml:space="preserve">субсидии на софинансирование расходных обязательств муниципальных образований Краснодарского края по организации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программе медицинского обследования) </t>
  </si>
  <si>
    <t>2 02 25169 05 0000 150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</si>
  <si>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</si>
  <si>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</si>
  <si>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</si>
  <si>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Наименование объекта</t>
  </si>
  <si>
    <t>О.В. Чуйко</t>
  </si>
  <si>
    <t xml:space="preserve">                                Приложение № 22 к решению Совета муниципального образования</t>
  </si>
  <si>
    <t>Строительство малобюджетных спортивных залов шаговой доступности</t>
  </si>
  <si>
    <t>2 02 20077 05 0000 150</t>
  </si>
  <si>
    <t>Субсидии бюджетам муниципальных районов на софинансирование капитальных вложений в обьекты муниципальной собственности</t>
  </si>
  <si>
    <t>Дотации бюджетам на поддержку мер по обеспечению сбалансированности бюджетов</t>
  </si>
  <si>
    <t>2 02 15002 00 0000 150</t>
  </si>
  <si>
    <t>10710</t>
  </si>
  <si>
    <t>Дотации на поддержку мер по обеспечению сбалансированности бюджетов поселений</t>
  </si>
  <si>
    <t>11420</t>
  </si>
  <si>
    <t>Реализация мероприятий в области строительства, архитектуры и градостроительства</t>
  </si>
  <si>
    <t>Построение и развитие АПК "Безопасный город" и системы "112"</t>
  </si>
  <si>
    <t>Создание условий для организации досуга и обеспечения жителей услугами организаций культуры</t>
  </si>
  <si>
    <t>S0560</t>
  </si>
  <si>
    <t>11310</t>
  </si>
  <si>
    <t>Ликвидация последствий чрезвычайных ситуаций на автомобильных дорогах общего пользования местного значения муниципального образования Апшеронский район</t>
  </si>
  <si>
    <t>S0620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</si>
  <si>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</si>
  <si>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</si>
  <si>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ФУ.</t>
  </si>
  <si>
    <t>УО.</t>
  </si>
  <si>
    <t>Организация газоснабжения (поселений) населения</t>
  </si>
  <si>
    <t>2.</t>
  </si>
  <si>
    <t>Строительство межпоселкового газопровода высокого давления г. Хадыженск - ст. Кабардинская</t>
  </si>
  <si>
    <t>Иные дотации</t>
  </si>
  <si>
    <t xml:space="preserve">субсидии на создание условий для организации досуга и обеспечение жителей услугами организаций культуры </t>
  </si>
  <si>
    <t xml:space="preserve">Распределение бюджетных ассигнований в 2019 году
на осуществление бюджетных инвестиций в форме капитальных вложений в объекты муниципальной собственности муниципального образования Апшеронский район и предоставление муниципальным бюджетным и автономным учреждениям, муниципальным унитарным предприятиям муниципального образования Апшеронский район субсидий на осуществление капитальных вложений в объекты муниципальной собственности муниципального образования Апшеронский район, софинансирование капитальных вложений в которые осуществляется за счет межбюджетных субсидий из краевого бюджета, по объектам </t>
  </si>
  <si>
    <t>Субсидии бюджетам муниципальных районов на софинансирование капитальных вложений в обьекты муниципальной собственности, в том числе:</t>
  </si>
  <si>
    <t>субсидии на софинансирование расходных обязательств, связанных со строительством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</si>
  <si>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субсидии на организацию газоснабжения населения (поселений)</t>
  </si>
  <si>
    <t>Строительство малобюджетного спортивного комплекса по ул. Школьная, 10 в ст. Кубанская Апшеронского района (второй этап)</t>
  </si>
  <si>
    <t>90020</t>
  </si>
  <si>
    <t>Иные межбюджетные трансферты за счет средств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</si>
  <si>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</si>
  <si>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</si>
  <si>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</si>
  <si>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</si>
  <si>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субсидии на реализацию мероприятий государственной программы Краснодарского края "Развитие образования"</t>
  </si>
  <si>
    <t>S0050</t>
  </si>
  <si>
    <t>10830</t>
  </si>
  <si>
    <t>Внесение вкладов в имущество</t>
  </si>
  <si>
    <t>Внесение вкладов в имущество ООО "Тепловые сети Апшеронского района"</t>
  </si>
  <si>
    <t>10860</t>
  </si>
  <si>
    <t>Реализация мероприятий муниципальной программы "Управление муниципальным имуществом</t>
  </si>
  <si>
    <t>М0050</t>
  </si>
  <si>
    <t>Решение социально значимых вопросов местного значения</t>
  </si>
  <si>
    <t>S1690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</si>
  <si>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</si>
  <si>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</si>
  <si>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субсиди на софинансирование расходных обязательств,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</t>
  </si>
  <si>
    <t>Апшеронский район от 15.08.2019 г.№341</t>
  </si>
  <si>
    <t>Апшеронский район от 15.08.2019 г.№ 341</t>
  </si>
  <si>
    <t>Апшеронский район от 15.08.2019 г. № 341</t>
  </si>
  <si>
    <t>Апшеронский район от  15.08.2019 г.№ 341</t>
  </si>
  <si>
    <t>Апшеронский район от  15.08.2019 г. № 341</t>
  </si>
  <si>
    <t>Апшеронский район от 15.08.22019 г. № 341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</si>
</sst>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_ ;[Red]\-0.0\ "/>
    <numFmt numFmtId="168" formatCode="#,##0.00000"/>
    <numFmt numFmtId="169" formatCode="0.000000"/>
    <numFmt numFmtId="170" formatCode="0.00000_ ;[Red]\-0.00000\ "/>
    <numFmt numFmtId="171" formatCode="_-* #,##0.00000_р_._-;\-* #,##0.00000_р_._-;_-* &quot;-&quot;?????_р_._-;_-@_-"/>
    <numFmt numFmtId="172" formatCode="0.000"/>
    <numFmt numFmtId="173" formatCode="#,##0.0_ ;\-#,##0.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</font>
    <font>
      <b/>
      <sz val="10"/>
      <name val="Arial Cyr"/>
      <charset val="204"/>
    </font>
    <font>
      <sz val="12"/>
      <color indexed="12"/>
      <name val="Times New Roman"/>
      <family val="1"/>
    </font>
    <font>
      <sz val="10"/>
      <name val="Arial"/>
      <family val="2"/>
      <charset val="204"/>
    </font>
    <font>
      <sz val="14"/>
      <color rgb="FF002060"/>
      <name val="Times New Roman"/>
      <family val="1"/>
    </font>
    <font>
      <sz val="12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41" fontId="23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34" fillId="0" borderId="0"/>
  </cellStyleXfs>
  <cellXfs count="1037">
    <xf numFmtId="0" fontId="0" fillId="0" borderId="0" xfId="0"/>
    <xf numFmtId="0" fontId="5" fillId="0" borderId="0" xfId="0" applyFont="1" applyFill="1" applyAlignment="1">
      <alignment horizontal="right"/>
    </xf>
    <xf numFmtId="0" fontId="3" fillId="0" borderId="0" xfId="1" applyFont="1" applyFill="1" applyBorder="1" applyAlignment="1">
      <alignment wrapText="1"/>
    </xf>
    <xf numFmtId="0" fontId="3" fillId="0" borderId="0" xfId="7" applyFont="1" applyFill="1" applyAlignment="1">
      <alignment horizontal="right"/>
    </xf>
    <xf numFmtId="168" fontId="3" fillId="0" borderId="0" xfId="1" applyNumberFormat="1" applyFont="1" applyFill="1" applyAlignment="1">
      <alignment horizontal="right"/>
    </xf>
    <xf numFmtId="0" fontId="3" fillId="0" borderId="0" xfId="7" applyFont="1" applyFill="1" applyBorder="1"/>
    <xf numFmtId="0" fontId="3" fillId="0" borderId="0" xfId="7" applyFont="1" applyFill="1"/>
    <xf numFmtId="1" fontId="3" fillId="0" borderId="0" xfId="7" applyNumberFormat="1" applyFont="1" applyFill="1"/>
    <xf numFmtId="0" fontId="3" fillId="0" borderId="1" xfId="7" applyFont="1" applyFill="1" applyBorder="1" applyAlignment="1">
      <alignment horizontal="center"/>
    </xf>
    <xf numFmtId="0" fontId="15" fillId="0" borderId="0" xfId="3" applyFont="1" applyFill="1"/>
    <xf numFmtId="0" fontId="3" fillId="0" borderId="0" xfId="3" applyFont="1" applyFill="1"/>
    <xf numFmtId="166" fontId="15" fillId="0" borderId="0" xfId="3" applyNumberFormat="1" applyFont="1" applyFill="1"/>
    <xf numFmtId="0" fontId="3" fillId="0" borderId="1" xfId="3" applyFont="1" applyFill="1" applyBorder="1" applyAlignment="1">
      <alignment horizontal="center" wrapText="1"/>
    </xf>
    <xf numFmtId="0" fontId="4" fillId="0" borderId="1" xfId="3" applyFont="1" applyFill="1" applyBorder="1" applyAlignment="1"/>
    <xf numFmtId="0" fontId="3" fillId="0" borderId="1" xfId="3" applyFont="1" applyFill="1" applyBorder="1" applyAlignment="1">
      <alignment horizontal="left"/>
    </xf>
    <xf numFmtId="164" fontId="3" fillId="0" borderId="1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164" fontId="4" fillId="0" borderId="1" xfId="3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164" fontId="5" fillId="0" borderId="1" xfId="3" applyNumberFormat="1" applyFont="1" applyFill="1" applyBorder="1" applyAlignment="1">
      <alignment horizontal="right" wrapText="1"/>
    </xf>
    <xf numFmtId="164" fontId="15" fillId="0" borderId="0" xfId="3" applyNumberFormat="1" applyFont="1" applyFill="1"/>
    <xf numFmtId="0" fontId="16" fillId="0" borderId="0" xfId="3" applyFont="1" applyFill="1"/>
    <xf numFmtId="164" fontId="6" fillId="0" borderId="1" xfId="3" applyNumberFormat="1" applyFont="1" applyFill="1" applyBorder="1" applyAlignment="1">
      <alignment horizontal="right" wrapText="1"/>
    </xf>
    <xf numFmtId="49" fontId="5" fillId="0" borderId="1" xfId="9" applyNumberFormat="1" applyFont="1" applyFill="1" applyBorder="1" applyAlignment="1">
      <alignment wrapText="1"/>
    </xf>
    <xf numFmtId="49" fontId="3" fillId="0" borderId="1" xfId="7" applyNumberFormat="1" applyFont="1" applyFill="1" applyBorder="1" applyAlignment="1">
      <alignment horizontal="left" wrapText="1"/>
    </xf>
    <xf numFmtId="164" fontId="4" fillId="0" borderId="1" xfId="3" applyNumberFormat="1" applyFont="1" applyFill="1" applyBorder="1" applyAlignment="1"/>
    <xf numFmtId="164" fontId="3" fillId="0" borderId="1" xfId="3" applyNumberFormat="1" applyFont="1" applyFill="1" applyBorder="1" applyAlignment="1"/>
    <xf numFmtId="166" fontId="3" fillId="0" borderId="0" xfId="7" applyNumberFormat="1" applyFont="1" applyFill="1" applyAlignment="1">
      <alignment horizontal="right"/>
    </xf>
    <xf numFmtId="0" fontId="10" fillId="0" borderId="0" xfId="7" applyFont="1" applyFill="1"/>
    <xf numFmtId="166" fontId="10" fillId="0" borderId="0" xfId="7" applyNumberFormat="1" applyFont="1" applyFill="1"/>
    <xf numFmtId="49" fontId="17" fillId="0" borderId="0" xfId="7" applyNumberFormat="1" applyFont="1" applyFill="1" applyBorder="1" applyAlignment="1">
      <alignment vertical="top" wrapText="1"/>
    </xf>
    <xf numFmtId="49" fontId="10" fillId="0" borderId="0" xfId="7" applyNumberFormat="1" applyFont="1" applyFill="1" applyBorder="1" applyAlignment="1">
      <alignment horizontal="center"/>
    </xf>
    <xf numFmtId="49" fontId="13" fillId="0" borderId="0" xfId="7" applyNumberFormat="1" applyFont="1" applyFill="1" applyBorder="1" applyAlignment="1">
      <alignment horizontal="center"/>
    </xf>
    <xf numFmtId="164" fontId="4" fillId="0" borderId="0" xfId="7" applyNumberFormat="1" applyFont="1" applyFill="1" applyBorder="1" applyAlignment="1"/>
    <xf numFmtId="0" fontId="19" fillId="0" borderId="0" xfId="3" applyFont="1" applyFill="1"/>
    <xf numFmtId="0" fontId="10" fillId="0" borderId="0" xfId="3" applyFont="1" applyFill="1"/>
    <xf numFmtId="168" fontId="3" fillId="0" borderId="0" xfId="7" applyNumberFormat="1" applyFont="1" applyFill="1" applyBorder="1" applyAlignment="1">
      <alignment horizontal="right"/>
    </xf>
    <xf numFmtId="166" fontId="19" fillId="0" borderId="0" xfId="3" applyNumberFormat="1" applyFont="1" applyFill="1"/>
    <xf numFmtId="169" fontId="4" fillId="0" borderId="0" xfId="3" applyNumberFormat="1" applyFont="1" applyFill="1"/>
    <xf numFmtId="0" fontId="17" fillId="0" borderId="0" xfId="3" applyFont="1" applyFill="1"/>
    <xf numFmtId="171" fontId="17" fillId="0" borderId="0" xfId="3" applyNumberFormat="1" applyFont="1" applyFill="1"/>
    <xf numFmtId="166" fontId="17" fillId="0" borderId="0" xfId="3" applyNumberFormat="1" applyFont="1" applyFill="1" applyAlignment="1">
      <alignment shrinkToFit="1"/>
    </xf>
    <xf numFmtId="1" fontId="3" fillId="0" borderId="0" xfId="7" applyNumberFormat="1" applyFont="1" applyFill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7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5" fillId="0" borderId="3" xfId="3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4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top"/>
    </xf>
    <xf numFmtId="49" fontId="5" fillId="0" borderId="1" xfId="3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vertical="top"/>
    </xf>
    <xf numFmtId="0" fontId="5" fillId="0" borderId="0" xfId="0" applyFont="1" applyFill="1"/>
    <xf numFmtId="0" fontId="3" fillId="0" borderId="1" xfId="1" applyFont="1" applyFill="1" applyBorder="1" applyAlignment="1">
      <alignment wrapText="1"/>
    </xf>
    <xf numFmtId="0" fontId="3" fillId="0" borderId="0" xfId="3" applyFont="1" applyFill="1" applyAlignment="1">
      <alignment wrapText="1"/>
    </xf>
    <xf numFmtId="1" fontId="3" fillId="0" borderId="1" xfId="7" applyNumberFormat="1" applyFont="1" applyFill="1" applyBorder="1" applyAlignment="1">
      <alignment horizontal="center" vertical="center" wrapText="1"/>
    </xf>
    <xf numFmtId="172" fontId="10" fillId="0" borderId="0" xfId="7" applyNumberFormat="1" applyFont="1" applyFill="1" applyBorder="1" applyAlignment="1">
      <alignment horizontal="center"/>
    </xf>
    <xf numFmtId="2" fontId="10" fillId="0" borderId="0" xfId="7" applyNumberFormat="1" applyFont="1" applyFill="1" applyBorder="1" applyAlignment="1">
      <alignment horizontal="center"/>
    </xf>
    <xf numFmtId="0" fontId="3" fillId="0" borderId="1" xfId="7" applyFont="1" applyFill="1" applyBorder="1"/>
    <xf numFmtId="164" fontId="3" fillId="0" borderId="1" xfId="7" applyNumberFormat="1" applyFont="1" applyFill="1" applyBorder="1" applyAlignment="1">
      <alignment horizontal="right"/>
    </xf>
    <xf numFmtId="164" fontId="12" fillId="0" borderId="0" xfId="7" applyNumberFormat="1" applyFont="1" applyFill="1" applyBorder="1" applyAlignment="1">
      <alignment horizontal="center"/>
    </xf>
    <xf numFmtId="164" fontId="4" fillId="0" borderId="1" xfId="7" applyNumberFormat="1" applyFont="1" applyFill="1" applyBorder="1" applyAlignment="1">
      <alignment horizontal="right"/>
    </xf>
    <xf numFmtId="2" fontId="12" fillId="0" borderId="0" xfId="7" applyNumberFormat="1" applyFont="1" applyFill="1" applyBorder="1" applyAlignment="1">
      <alignment horizontal="center"/>
    </xf>
    <xf numFmtId="1" fontId="4" fillId="0" borderId="0" xfId="7" applyNumberFormat="1" applyFont="1" applyFill="1"/>
    <xf numFmtId="171" fontId="19" fillId="0" borderId="0" xfId="3" applyNumberFormat="1" applyFont="1" applyFill="1"/>
    <xf numFmtId="10" fontId="3" fillId="0" borderId="0" xfId="3" applyNumberFormat="1" applyFont="1" applyFill="1"/>
    <xf numFmtId="0" fontId="5" fillId="0" borderId="1" xfId="7" applyFont="1" applyFill="1" applyBorder="1" applyAlignment="1">
      <alignment horizontal="center"/>
    </xf>
    <xf numFmtId="1" fontId="5" fillId="0" borderId="1" xfId="7" applyNumberFormat="1" applyFont="1" applyFill="1" applyBorder="1" applyAlignment="1">
      <alignment horizontal="center"/>
    </xf>
    <xf numFmtId="0" fontId="5" fillId="0" borderId="0" xfId="7" applyFont="1" applyFill="1"/>
    <xf numFmtId="0" fontId="5" fillId="0" borderId="1" xfId="3" applyFont="1" applyFill="1" applyBorder="1" applyAlignment="1">
      <alignment horizontal="center" vertical="top" wrapText="1"/>
    </xf>
    <xf numFmtId="0" fontId="5" fillId="0" borderId="9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5" fillId="0" borderId="0" xfId="0" applyFont="1" applyFill="1"/>
    <xf numFmtId="0" fontId="6" fillId="0" borderId="5" xfId="3" applyFont="1" applyFill="1" applyBorder="1" applyAlignment="1">
      <alignment horizontal="center" vertical="top"/>
    </xf>
    <xf numFmtId="0" fontId="6" fillId="0" borderId="12" xfId="3" applyFont="1" applyFill="1" applyBorder="1" applyAlignment="1">
      <alignment horizontal="center" vertical="top"/>
    </xf>
    <xf numFmtId="0" fontId="5" fillId="0" borderId="12" xfId="3" applyFont="1" applyFill="1" applyBorder="1" applyAlignment="1">
      <alignment horizontal="center" vertical="top"/>
    </xf>
    <xf numFmtId="0" fontId="3" fillId="0" borderId="1" xfId="3" applyFont="1" applyFill="1" applyBorder="1" applyAlignment="1"/>
    <xf numFmtId="49" fontId="3" fillId="0" borderId="3" xfId="0" applyNumberFormat="1" applyFont="1" applyFill="1" applyBorder="1" applyAlignment="1">
      <alignment wrapText="1"/>
    </xf>
    <xf numFmtId="49" fontId="4" fillId="0" borderId="1" xfId="7" applyNumberFormat="1" applyFont="1" applyFill="1" applyBorder="1" applyAlignment="1">
      <alignment horizontal="left" wrapText="1"/>
    </xf>
    <xf numFmtId="0" fontId="5" fillId="0" borderId="13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wrapText="1"/>
    </xf>
    <xf numFmtId="173" fontId="3" fillId="0" borderId="0" xfId="3" applyNumberFormat="1" applyFont="1" applyFill="1" applyBorder="1" applyAlignment="1"/>
    <xf numFmtId="173" fontId="6" fillId="0" borderId="12" xfId="13" applyNumberFormat="1" applyFont="1" applyFill="1" applyBorder="1" applyAlignment="1">
      <alignment horizontal="right" vertical="center"/>
    </xf>
    <xf numFmtId="166" fontId="19" fillId="0" borderId="0" xfId="3" applyNumberFormat="1" applyFont="1" applyFill="1" applyBorder="1"/>
    <xf numFmtId="0" fontId="6" fillId="0" borderId="8" xfId="3" applyFont="1" applyFill="1" applyBorder="1" applyAlignment="1">
      <alignment vertical="top" wrapText="1"/>
    </xf>
    <xf numFmtId="0" fontId="6" fillId="0" borderId="11" xfId="3" applyFont="1" applyFill="1" applyBorder="1" applyAlignment="1">
      <alignment wrapText="1"/>
    </xf>
    <xf numFmtId="0" fontId="5" fillId="0" borderId="11" xfId="3" applyFont="1" applyFill="1" applyBorder="1" applyAlignment="1">
      <alignment wrapText="1"/>
    </xf>
    <xf numFmtId="0" fontId="3" fillId="0" borderId="0" xfId="7" applyFont="1" applyFill="1" applyBorder="1" applyAlignment="1">
      <alignment horizontal="left"/>
    </xf>
    <xf numFmtId="0" fontId="3" fillId="0" borderId="0" xfId="7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9" fillId="0" borderId="0" xfId="7" applyFont="1" applyFill="1"/>
    <xf numFmtId="0" fontId="5" fillId="0" borderId="0" xfId="0" applyFont="1" applyFill="1" applyAlignment="1"/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/>
    <xf numFmtId="2" fontId="3" fillId="0" borderId="0" xfId="3" applyNumberFormat="1" applyFont="1" applyFill="1" applyAlignment="1">
      <alignment horizontal="center"/>
    </xf>
    <xf numFmtId="173" fontId="5" fillId="0" borderId="12" xfId="0" applyNumberFormat="1" applyFont="1" applyFill="1" applyBorder="1"/>
    <xf numFmtId="169" fontId="28" fillId="0" borderId="0" xfId="3" applyNumberFormat="1" applyFont="1" applyFill="1"/>
    <xf numFmtId="0" fontId="3" fillId="0" borderId="0" xfId="3" applyFont="1"/>
    <xf numFmtId="0" fontId="10" fillId="0" borderId="0" xfId="3" applyFont="1"/>
    <xf numFmtId="0" fontId="10" fillId="0" borderId="0" xfId="3" applyFont="1" applyAlignment="1">
      <alignment wrapText="1"/>
    </xf>
    <xf numFmtId="166" fontId="10" fillId="0" borderId="0" xfId="3" applyNumberFormat="1" applyFont="1" applyAlignment="1">
      <alignment horizontal="right"/>
    </xf>
    <xf numFmtId="0" fontId="3" fillId="0" borderId="6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0" xfId="3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11" xfId="3" applyFont="1" applyFill="1" applyBorder="1" applyAlignment="1">
      <alignment vertical="top" wrapText="1"/>
    </xf>
    <xf numFmtId="0" fontId="26" fillId="0" borderId="0" xfId="3" applyFont="1" applyFill="1"/>
    <xf numFmtId="166" fontId="26" fillId="0" borderId="0" xfId="3" applyNumberFormat="1" applyFont="1" applyFill="1" applyBorder="1"/>
    <xf numFmtId="169" fontId="6" fillId="0" borderId="0" xfId="3" applyNumberFormat="1" applyFont="1" applyFill="1"/>
    <xf numFmtId="0" fontId="5" fillId="0" borderId="11" xfId="3" applyFont="1" applyFill="1" applyBorder="1" applyAlignment="1">
      <alignment vertical="top" wrapText="1"/>
    </xf>
    <xf numFmtId="173" fontId="5" fillId="0" borderId="12" xfId="13" applyNumberFormat="1" applyFont="1" applyFill="1" applyBorder="1" applyAlignment="1">
      <alignment horizontal="right" vertical="center"/>
    </xf>
    <xf numFmtId="0" fontId="22" fillId="2" borderId="0" xfId="0" applyFont="1" applyFill="1"/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/>
    <xf numFmtId="166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7" fillId="2" borderId="0" xfId="0" applyFont="1" applyFill="1"/>
    <xf numFmtId="49" fontId="3" fillId="2" borderId="3" xfId="4" applyNumberFormat="1" applyFont="1" applyFill="1" applyBorder="1" applyAlignment="1" applyProtection="1">
      <alignment horizontal="left" wrapText="1"/>
      <protection hidden="1"/>
    </xf>
    <xf numFmtId="49" fontId="3" fillId="2" borderId="3" xfId="5" applyNumberFormat="1" applyFont="1" applyFill="1" applyBorder="1" applyAlignment="1">
      <alignment horizontal="left" wrapText="1"/>
    </xf>
    <xf numFmtId="49" fontId="3" fillId="2" borderId="3" xfId="6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2" borderId="3" xfId="5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2" fillId="2" borderId="0" xfId="5" applyFont="1" applyFill="1"/>
    <xf numFmtId="0" fontId="3" fillId="2" borderId="1" xfId="5" applyFont="1" applyFill="1" applyBorder="1" applyAlignment="1">
      <alignment horizontal="center" vertical="top"/>
    </xf>
    <xf numFmtId="49" fontId="3" fillId="2" borderId="1" xfId="11" applyNumberFormat="1" applyFont="1" applyFill="1" applyBorder="1" applyAlignment="1">
      <alignment horizontal="center" wrapText="1"/>
    </xf>
    <xf numFmtId="49" fontId="3" fillId="2" borderId="1" xfId="11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49" fontId="3" fillId="2" borderId="9" xfId="5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/>
    </xf>
    <xf numFmtId="0" fontId="13" fillId="2" borderId="0" xfId="5" applyFont="1" applyFill="1"/>
    <xf numFmtId="0" fontId="17" fillId="2" borderId="0" xfId="5" applyFont="1" applyFill="1"/>
    <xf numFmtId="49" fontId="3" fillId="2" borderId="6" xfId="6" applyNumberFormat="1" applyFont="1" applyFill="1" applyBorder="1" applyAlignment="1">
      <alignment horizontal="center"/>
    </xf>
    <xf numFmtId="49" fontId="3" fillId="2" borderId="7" xfId="5" applyNumberFormat="1" applyFont="1" applyFill="1" applyBorder="1" applyAlignment="1">
      <alignment horizontal="center"/>
    </xf>
    <xf numFmtId="49" fontId="3" fillId="2" borderId="8" xfId="5" applyNumberFormat="1" applyFont="1" applyFill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49" fontId="3" fillId="2" borderId="2" xfId="6" applyNumberFormat="1" applyFont="1" applyFill="1" applyBorder="1" applyAlignment="1">
      <alignment horizontal="center"/>
    </xf>
    <xf numFmtId="0" fontId="10" fillId="2" borderId="0" xfId="5" applyFont="1" applyFill="1"/>
    <xf numFmtId="170" fontId="13" fillId="2" borderId="0" xfId="5" applyNumberFormat="1" applyFont="1" applyFill="1"/>
    <xf numFmtId="0" fontId="13" fillId="2" borderId="0" xfId="14" applyFont="1" applyFill="1"/>
    <xf numFmtId="170" fontId="13" fillId="2" borderId="0" xfId="14" applyNumberFormat="1" applyFont="1" applyFill="1"/>
    <xf numFmtId="0" fontId="3" fillId="2" borderId="1" xfId="14" applyFont="1" applyFill="1" applyBorder="1" applyAlignment="1">
      <alignment horizontal="center" vertical="top"/>
    </xf>
    <xf numFmtId="49" fontId="3" fillId="2" borderId="9" xfId="14" applyNumberFormat="1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 wrapText="1"/>
    </xf>
    <xf numFmtId="49" fontId="3" fillId="2" borderId="13" xfId="14" applyNumberFormat="1" applyFont="1" applyFill="1" applyBorder="1" applyAlignment="1">
      <alignment horizontal="center"/>
    </xf>
    <xf numFmtId="164" fontId="12" fillId="2" borderId="0" xfId="0" applyNumberFormat="1" applyFont="1" applyFill="1"/>
    <xf numFmtId="164" fontId="13" fillId="2" borderId="0" xfId="0" applyNumberFormat="1" applyFont="1" applyFill="1"/>
    <xf numFmtId="167" fontId="12" fillId="2" borderId="0" xfId="0" applyNumberFormat="1" applyFont="1" applyFill="1"/>
    <xf numFmtId="49" fontId="3" fillId="2" borderId="1" xfId="6" applyNumberFormat="1" applyFont="1" applyFill="1" applyBorder="1" applyAlignment="1">
      <alignment horizontal="center" wrapText="1"/>
    </xf>
    <xf numFmtId="49" fontId="3" fillId="2" borderId="1" xfId="6" applyNumberFormat="1" applyFont="1" applyFill="1" applyBorder="1" applyAlignment="1">
      <alignment horizontal="center"/>
    </xf>
    <xf numFmtId="49" fontId="3" fillId="2" borderId="3" xfId="6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wrapText="1"/>
    </xf>
    <xf numFmtId="170" fontId="13" fillId="2" borderId="0" xfId="0" applyNumberFormat="1" applyFont="1" applyFill="1"/>
    <xf numFmtId="49" fontId="5" fillId="2" borderId="1" xfId="6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vertical="top" wrapText="1"/>
    </xf>
    <xf numFmtId="49" fontId="3" fillId="2" borderId="1" xfId="5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left"/>
    </xf>
    <xf numFmtId="49" fontId="17" fillId="2" borderId="0" xfId="7" applyNumberFormat="1" applyFont="1" applyFill="1" applyBorder="1" applyAlignment="1">
      <alignment vertical="top" wrapText="1"/>
    </xf>
    <xf numFmtId="49" fontId="10" fillId="2" borderId="0" xfId="7" applyNumberFormat="1" applyFont="1" applyFill="1" applyBorder="1" applyAlignment="1">
      <alignment horizontal="center"/>
    </xf>
    <xf numFmtId="49" fontId="13" fillId="2" borderId="0" xfId="7" applyNumberFormat="1" applyFont="1" applyFill="1" applyBorder="1" applyAlignment="1">
      <alignment horizontal="center"/>
    </xf>
    <xf numFmtId="164" fontId="4" fillId="2" borderId="0" xfId="7" applyNumberFormat="1" applyFont="1" applyFill="1" applyBorder="1" applyAlignment="1"/>
    <xf numFmtId="166" fontId="10" fillId="2" borderId="0" xfId="7" applyNumberFormat="1" applyFont="1" applyFill="1"/>
    <xf numFmtId="0" fontId="10" fillId="2" borderId="0" xfId="7" applyFont="1" applyFill="1"/>
    <xf numFmtId="0" fontId="3" fillId="2" borderId="0" xfId="7" applyFont="1" applyFill="1" applyAlignment="1">
      <alignment horizontal="left"/>
    </xf>
    <xf numFmtId="0" fontId="5" fillId="2" borderId="1" xfId="0" applyFont="1" applyFill="1" applyBorder="1"/>
    <xf numFmtId="49" fontId="6" fillId="2" borderId="1" xfId="0" applyNumberFormat="1" applyFont="1" applyFill="1" applyBorder="1" applyAlignment="1">
      <alignment horizontal="center"/>
    </xf>
    <xf numFmtId="164" fontId="22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center" wrapText="1"/>
    </xf>
    <xf numFmtId="164" fontId="10" fillId="2" borderId="0" xfId="7" applyNumberFormat="1" applyFont="1" applyFill="1"/>
    <xf numFmtId="164" fontId="3" fillId="2" borderId="0" xfId="7" applyNumberFormat="1" applyFont="1" applyFill="1" applyAlignment="1">
      <alignment horizontal="right"/>
    </xf>
    <xf numFmtId="164" fontId="13" fillId="2" borderId="1" xfId="0" applyNumberFormat="1" applyFont="1" applyFill="1" applyBorder="1"/>
    <xf numFmtId="164" fontId="30" fillId="2" borderId="1" xfId="0" applyNumberFormat="1" applyFont="1" applyFill="1" applyBorder="1"/>
    <xf numFmtId="164" fontId="12" fillId="2" borderId="1" xfId="0" applyNumberFormat="1" applyFont="1" applyFill="1" applyBorder="1"/>
    <xf numFmtId="164" fontId="25" fillId="2" borderId="1" xfId="0" applyNumberFormat="1" applyFont="1" applyFill="1" applyBorder="1"/>
    <xf numFmtId="164" fontId="5" fillId="2" borderId="1" xfId="0" applyNumberFormat="1" applyFont="1" applyFill="1" applyBorder="1"/>
    <xf numFmtId="0" fontId="5" fillId="0" borderId="12" xfId="3" applyFont="1" applyFill="1" applyBorder="1" applyAlignment="1">
      <alignment wrapText="1"/>
    </xf>
    <xf numFmtId="173" fontId="5" fillId="2" borderId="12" xfId="0" applyNumberFormat="1" applyFont="1" applyFill="1" applyBorder="1"/>
    <xf numFmtId="173" fontId="6" fillId="0" borderId="5" xfId="13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25" fillId="2" borderId="0" xfId="0" applyFont="1" applyFill="1" applyBorder="1"/>
    <xf numFmtId="0" fontId="25" fillId="2" borderId="0" xfId="0" applyFont="1" applyFill="1"/>
    <xf numFmtId="0" fontId="6" fillId="0" borderId="5" xfId="3" applyFont="1" applyFill="1" applyBorder="1" applyAlignment="1">
      <alignment vertical="top" wrapText="1"/>
    </xf>
    <xf numFmtId="0" fontId="6" fillId="0" borderId="12" xfId="3" applyFont="1" applyFill="1" applyBorder="1" applyAlignment="1">
      <alignment vertical="top" wrapText="1"/>
    </xf>
    <xf numFmtId="0" fontId="5" fillId="0" borderId="12" xfId="3" applyFont="1" applyFill="1" applyBorder="1" applyAlignment="1">
      <alignment vertical="top" wrapText="1"/>
    </xf>
    <xf numFmtId="0" fontId="6" fillId="0" borderId="12" xfId="3" applyFont="1" applyFill="1" applyBorder="1" applyAlignment="1">
      <alignment wrapText="1"/>
    </xf>
    <xf numFmtId="0" fontId="5" fillId="0" borderId="13" xfId="3" applyFont="1" applyFill="1" applyBorder="1" applyAlignment="1">
      <alignment wrapText="1"/>
    </xf>
    <xf numFmtId="173" fontId="5" fillId="2" borderId="13" xfId="0" applyNumberFormat="1" applyFont="1" applyFill="1" applyBorder="1"/>
    <xf numFmtId="164" fontId="5" fillId="0" borderId="0" xfId="0" applyNumberFormat="1" applyFont="1" applyFill="1" applyBorder="1"/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15" applyNumberFormat="1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wrapText="1"/>
    </xf>
    <xf numFmtId="0" fontId="29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166" fontId="3" fillId="2" borderId="0" xfId="7" applyNumberFormat="1" applyFont="1" applyFill="1" applyAlignment="1">
      <alignment horizontal="right"/>
    </xf>
    <xf numFmtId="0" fontId="3" fillId="2" borderId="0" xfId="1" applyFont="1" applyFill="1"/>
    <xf numFmtId="0" fontId="3" fillId="2" borderId="0" xfId="1" applyFont="1" applyFill="1" applyBorder="1" applyAlignment="1">
      <alignment wrapText="1"/>
    </xf>
    <xf numFmtId="168" fontId="3" fillId="2" borderId="0" xfId="1" applyNumberFormat="1" applyFont="1" applyFill="1" applyAlignment="1">
      <alignment horizontal="right"/>
    </xf>
    <xf numFmtId="168" fontId="3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165" fontId="6" fillId="2" borderId="1" xfId="0" applyNumberFormat="1" applyFont="1" applyFill="1" applyBorder="1"/>
    <xf numFmtId="165" fontId="3" fillId="2" borderId="0" xfId="1" applyNumberFormat="1" applyFont="1" applyFill="1"/>
    <xf numFmtId="0" fontId="3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/>
    <xf numFmtId="164" fontId="3" fillId="2" borderId="0" xfId="1" applyNumberFormat="1" applyFont="1" applyFill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4" fillId="2" borderId="1" xfId="7" applyFont="1" applyFill="1" applyBorder="1" applyAlignment="1">
      <alignment horizontal="center" vertical="top"/>
    </xf>
    <xf numFmtId="0" fontId="4" fillId="2" borderId="1" xfId="7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horizontal="right"/>
    </xf>
    <xf numFmtId="0" fontId="3" fillId="2" borderId="1" xfId="7" applyFont="1" applyFill="1" applyBorder="1" applyAlignment="1">
      <alignment horizontal="center" vertical="top"/>
    </xf>
    <xf numFmtId="0" fontId="3" fillId="2" borderId="1" xfId="7" applyFont="1" applyFill="1" applyBorder="1" applyAlignment="1">
      <alignment vertical="top" wrapText="1"/>
    </xf>
    <xf numFmtId="165" fontId="3" fillId="2" borderId="1" xfId="1" applyNumberFormat="1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14" fillId="2" borderId="0" xfId="1" applyFont="1" applyFill="1"/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0" xfId="7" applyFont="1" applyFill="1" applyBorder="1"/>
    <xf numFmtId="168" fontId="3" fillId="2" borderId="0" xfId="1" applyNumberFormat="1" applyFont="1" applyFill="1"/>
    <xf numFmtId="0" fontId="3" fillId="2" borderId="0" xfId="7" applyFont="1" applyFill="1" applyAlignment="1">
      <alignment wrapText="1"/>
    </xf>
    <xf numFmtId="168" fontId="3" fillId="2" borderId="0" xfId="7" applyNumberFormat="1" applyFont="1" applyFill="1" applyBorder="1"/>
    <xf numFmtId="0" fontId="6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top" wrapText="1"/>
    </xf>
    <xf numFmtId="0" fontId="3" fillId="2" borderId="1" xfId="1" applyFont="1" applyFill="1" applyBorder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7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164" fontId="8" fillId="2" borderId="1" xfId="1" applyNumberFormat="1" applyFont="1" applyFill="1" applyBorder="1" applyAlignment="1"/>
    <xf numFmtId="0" fontId="8" fillId="2" borderId="5" xfId="1" applyFont="1" applyFill="1" applyBorder="1" applyAlignment="1">
      <alignment horizontal="center"/>
    </xf>
    <xf numFmtId="0" fontId="8" fillId="2" borderId="24" xfId="5" applyFont="1" applyFill="1" applyBorder="1" applyAlignment="1">
      <alignment wrapText="1"/>
    </xf>
    <xf numFmtId="164" fontId="8" fillId="2" borderId="24" xfId="1" applyNumberFormat="1" applyFont="1" applyFill="1" applyBorder="1" applyAlignment="1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8" fillId="2" borderId="1" xfId="1" applyFont="1" applyFill="1" applyBorder="1" applyAlignment="1">
      <alignment horizontal="center"/>
    </xf>
    <xf numFmtId="0" fontId="8" fillId="2" borderId="1" xfId="5" applyFont="1" applyFill="1" applyBorder="1" applyAlignment="1">
      <alignment wrapText="1"/>
    </xf>
    <xf numFmtId="164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5" fillId="2" borderId="1" xfId="5" applyFont="1" applyFill="1" applyBorder="1" applyAlignment="1">
      <alignment horizontal="left" wrapText="1"/>
    </xf>
    <xf numFmtId="49" fontId="5" fillId="2" borderId="0" xfId="5" applyNumberFormat="1" applyFont="1" applyFill="1" applyBorder="1" applyAlignment="1">
      <alignment horizontal="center" vertical="top" wrapText="1"/>
    </xf>
    <xf numFmtId="0" fontId="5" fillId="2" borderId="0" xfId="5" applyNumberFormat="1" applyFont="1" applyFill="1" applyBorder="1" applyAlignment="1">
      <alignment horizontal="left" wrapText="1"/>
    </xf>
    <xf numFmtId="164" fontId="5" fillId="2" borderId="0" xfId="5" applyNumberFormat="1" applyFont="1" applyFill="1" applyBorder="1" applyAlignment="1">
      <alignment horizontal="right" wrapText="1"/>
    </xf>
    <xf numFmtId="49" fontId="12" fillId="2" borderId="0" xfId="7" applyNumberFormat="1" applyFont="1" applyFill="1" applyBorder="1" applyAlignment="1">
      <alignment vertical="top" wrapText="1"/>
    </xf>
    <xf numFmtId="164" fontId="5" fillId="2" borderId="0" xfId="0" applyNumberFormat="1" applyFont="1" applyFill="1"/>
    <xf numFmtId="0" fontId="5" fillId="2" borderId="0" xfId="7" applyFont="1" applyFill="1" applyBorder="1" applyAlignment="1">
      <alignment horizontal="left"/>
    </xf>
    <xf numFmtId="164" fontId="6" fillId="2" borderId="0" xfId="7" applyNumberFormat="1" applyFont="1" applyFill="1" applyBorder="1" applyAlignment="1"/>
    <xf numFmtId="166" fontId="13" fillId="2" borderId="0" xfId="7" applyNumberFormat="1" applyFont="1" applyFill="1"/>
    <xf numFmtId="0" fontId="13" fillId="2" borderId="0" xfId="7" applyFont="1" applyFill="1"/>
    <xf numFmtId="0" fontId="5" fillId="2" borderId="0" xfId="7" applyFont="1" applyFill="1" applyAlignment="1">
      <alignment horizontal="left"/>
    </xf>
    <xf numFmtId="166" fontId="5" fillId="2" borderId="0" xfId="7" applyNumberFormat="1" applyFont="1" applyFill="1" applyAlignment="1">
      <alignment horizontal="right"/>
    </xf>
    <xf numFmtId="0" fontId="3" fillId="2" borderId="0" xfId="7" applyFont="1" applyFill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3" fontId="3" fillId="2" borderId="1" xfId="1" applyNumberFormat="1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right" vertical="top"/>
    </xf>
    <xf numFmtId="3" fontId="3" fillId="2" borderId="0" xfId="1" applyNumberFormat="1" applyFont="1" applyFill="1"/>
    <xf numFmtId="0" fontId="3" fillId="2" borderId="0" xfId="7" applyFont="1" applyFill="1"/>
    <xf numFmtId="1" fontId="3" fillId="2" borderId="0" xfId="7" applyNumberFormat="1" applyFont="1" applyFill="1"/>
    <xf numFmtId="3" fontId="3" fillId="2" borderId="0" xfId="7" applyNumberFormat="1" applyFont="1" applyFill="1" applyBorder="1"/>
    <xf numFmtId="164" fontId="3" fillId="2" borderId="0" xfId="0" applyNumberFormat="1" applyFont="1" applyFill="1" applyAlignment="1">
      <alignment horizontal="right"/>
    </xf>
    <xf numFmtId="0" fontId="3" fillId="2" borderId="1" xfId="7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15" fillId="2" borderId="0" xfId="3" applyFont="1" applyFill="1"/>
    <xf numFmtId="0" fontId="3" fillId="2" borderId="0" xfId="3" applyFont="1" applyFill="1"/>
    <xf numFmtId="166" fontId="15" fillId="2" borderId="0" xfId="3" applyNumberFormat="1" applyFont="1" applyFill="1"/>
    <xf numFmtId="0" fontId="4" fillId="2" borderId="0" xfId="3" applyFont="1" applyFill="1" applyAlignment="1">
      <alignment horizontal="center"/>
    </xf>
    <xf numFmtId="0" fontId="5" fillId="2" borderId="0" xfId="3" applyFont="1" applyFill="1" applyAlignment="1">
      <alignment horizontal="right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/>
    </xf>
    <xf numFmtId="1" fontId="5" fillId="2" borderId="1" xfId="7" applyNumberFormat="1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/>
    <xf numFmtId="164" fontId="4" fillId="2" borderId="5" xfId="10" applyNumberFormat="1" applyFont="1" applyFill="1" applyBorder="1" applyAlignment="1">
      <alignment horizontal="right" wrapText="1"/>
    </xf>
    <xf numFmtId="169" fontId="28" fillId="2" borderId="0" xfId="3" applyNumberFormat="1" applyFont="1" applyFill="1"/>
    <xf numFmtId="0" fontId="3" fillId="2" borderId="12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horizontal="left"/>
    </xf>
    <xf numFmtId="164" fontId="3" fillId="2" borderId="12" xfId="3" applyNumberFormat="1" applyFont="1" applyFill="1" applyBorder="1" applyAlignment="1">
      <alignment horizontal="right" wrapText="1"/>
    </xf>
    <xf numFmtId="0" fontId="4" fillId="2" borderId="12" xfId="3" applyFont="1" applyFill="1" applyBorder="1" applyAlignment="1">
      <alignment wrapText="1"/>
    </xf>
    <xf numFmtId="164" fontId="4" fillId="2" borderId="12" xfId="3" applyNumberFormat="1" applyFont="1" applyFill="1" applyBorder="1" applyAlignment="1">
      <alignment horizontal="right" wrapText="1"/>
    </xf>
    <xf numFmtId="0" fontId="3" fillId="2" borderId="12" xfId="3" applyFont="1" applyFill="1" applyBorder="1" applyAlignment="1">
      <alignment wrapText="1"/>
    </xf>
    <xf numFmtId="0" fontId="3" fillId="2" borderId="13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center" wrapText="1"/>
    </xf>
    <xf numFmtId="0" fontId="3" fillId="2" borderId="13" xfId="3" applyFont="1" applyFill="1" applyBorder="1" applyAlignment="1">
      <alignment wrapText="1"/>
    </xf>
    <xf numFmtId="164" fontId="3" fillId="2" borderId="13" xfId="3" applyNumberFormat="1" applyFont="1" applyFill="1" applyBorder="1" applyAlignment="1">
      <alignment horizontal="right" wrapText="1"/>
    </xf>
    <xf numFmtId="49" fontId="3" fillId="2" borderId="7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wrapText="1"/>
    </xf>
    <xf numFmtId="164" fontId="3" fillId="2" borderId="5" xfId="3" applyNumberFormat="1" applyFont="1" applyFill="1" applyBorder="1" applyAlignment="1">
      <alignment horizontal="right" wrapText="1"/>
    </xf>
    <xf numFmtId="49" fontId="4" fillId="2" borderId="0" xfId="3" applyNumberFormat="1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center" wrapText="1"/>
    </xf>
    <xf numFmtId="49" fontId="3" fillId="2" borderId="0" xfId="3" applyNumberFormat="1" applyFont="1" applyFill="1" applyBorder="1" applyAlignment="1">
      <alignment horizontal="center" vertical="top"/>
    </xf>
    <xf numFmtId="49" fontId="3" fillId="2" borderId="5" xfId="3" applyNumberFormat="1" applyFont="1" applyFill="1" applyBorder="1" applyAlignment="1">
      <alignment horizontal="center" vertical="top"/>
    </xf>
    <xf numFmtId="49" fontId="3" fillId="2" borderId="12" xfId="3" applyNumberFormat="1" applyFont="1" applyFill="1" applyBorder="1" applyAlignment="1">
      <alignment horizontal="center" vertical="top"/>
    </xf>
    <xf numFmtId="49" fontId="4" fillId="2" borderId="12" xfId="3" applyNumberFormat="1" applyFont="1" applyFill="1" applyBorder="1" applyAlignment="1">
      <alignment horizontal="center" vertical="top"/>
    </xf>
    <xf numFmtId="49" fontId="5" fillId="2" borderId="12" xfId="3" applyNumberFormat="1" applyFont="1" applyFill="1" applyBorder="1" applyAlignment="1">
      <alignment horizontal="center" vertical="top"/>
    </xf>
    <xf numFmtId="0" fontId="5" fillId="2" borderId="12" xfId="3" applyFont="1" applyFill="1" applyBorder="1" applyAlignment="1">
      <alignment wrapText="1"/>
    </xf>
    <xf numFmtId="164" fontId="5" fillId="2" borderId="12" xfId="3" applyNumberFormat="1" applyFont="1" applyFill="1" applyBorder="1" applyAlignment="1">
      <alignment horizontal="right" wrapText="1"/>
    </xf>
    <xf numFmtId="49" fontId="4" fillId="2" borderId="13" xfId="3" applyNumberFormat="1" applyFont="1" applyFill="1" applyBorder="1" applyAlignment="1">
      <alignment horizontal="center" vertical="top"/>
    </xf>
    <xf numFmtId="0" fontId="4" fillId="2" borderId="13" xfId="3" applyFont="1" applyFill="1" applyBorder="1" applyAlignment="1">
      <alignment wrapText="1"/>
    </xf>
    <xf numFmtId="0" fontId="3" fillId="2" borderId="13" xfId="3" applyFont="1" applyFill="1" applyBorder="1" applyAlignment="1">
      <alignment horizontal="center" wrapText="1"/>
    </xf>
    <xf numFmtId="49" fontId="3" fillId="2" borderId="12" xfId="11" applyNumberFormat="1" applyFont="1" applyFill="1" applyBorder="1" applyAlignment="1">
      <alignment wrapText="1"/>
    </xf>
    <xf numFmtId="164" fontId="15" fillId="2" borderId="0" xfId="3" applyNumberFormat="1" applyFont="1" applyFill="1"/>
    <xf numFmtId="49" fontId="3" fillId="2" borderId="13" xfId="3" applyNumberFormat="1" applyFont="1" applyFill="1" applyBorder="1" applyAlignment="1">
      <alignment horizontal="center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wrapText="1"/>
    </xf>
    <xf numFmtId="49" fontId="5" fillId="2" borderId="1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3" xfId="5" applyNumberFormat="1" applyFont="1" applyFill="1" applyBorder="1" applyAlignment="1">
      <alignment wrapText="1"/>
    </xf>
    <xf numFmtId="49" fontId="5" fillId="2" borderId="2" xfId="11" applyNumberFormat="1" applyFont="1" applyFill="1" applyBorder="1" applyAlignment="1">
      <alignment horizontal="center"/>
    </xf>
    <xf numFmtId="49" fontId="5" fillId="2" borderId="9" xfId="5" applyNumberFormat="1" applyFont="1" applyFill="1" applyBorder="1" applyAlignment="1">
      <alignment horizontal="center"/>
    </xf>
    <xf numFmtId="49" fontId="5" fillId="2" borderId="3" xfId="5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/>
    </xf>
    <xf numFmtId="2" fontId="5" fillId="2" borderId="23" xfId="14" applyNumberFormat="1" applyFont="1" applyFill="1" applyBorder="1" applyAlignment="1">
      <alignment wrapText="1"/>
    </xf>
    <xf numFmtId="49" fontId="5" fillId="2" borderId="23" xfId="14" applyNumberFormat="1" applyFont="1" applyFill="1" applyBorder="1" applyAlignment="1">
      <alignment horizontal="center"/>
    </xf>
    <xf numFmtId="49" fontId="5" fillId="2" borderId="22" xfId="14" applyNumberFormat="1" applyFont="1" applyFill="1" applyBorder="1" applyAlignment="1">
      <alignment horizontal="center"/>
    </xf>
    <xf numFmtId="49" fontId="5" fillId="2" borderId="19" xfId="14" applyNumberFormat="1" applyFont="1" applyFill="1" applyBorder="1" applyAlignment="1">
      <alignment wrapText="1"/>
    </xf>
    <xf numFmtId="49" fontId="5" fillId="2" borderId="19" xfId="14" applyNumberFormat="1" applyFont="1" applyFill="1" applyBorder="1" applyAlignment="1">
      <alignment horizontal="center"/>
    </xf>
    <xf numFmtId="49" fontId="5" fillId="2" borderId="16" xfId="14" applyNumberFormat="1" applyFont="1" applyFill="1" applyBorder="1" applyAlignment="1">
      <alignment horizontal="center"/>
    </xf>
    <xf numFmtId="0" fontId="13" fillId="2" borderId="0" xfId="7" applyFont="1" applyFill="1" applyAlignment="1">
      <alignment horizontal="center"/>
    </xf>
    <xf numFmtId="49" fontId="13" fillId="2" borderId="0" xfId="7" applyNumberFormat="1" applyFont="1" applyFill="1" applyAlignment="1">
      <alignment vertical="top" wrapText="1"/>
    </xf>
    <xf numFmtId="49" fontId="13" fillId="2" borderId="0" xfId="7" applyNumberFormat="1" applyFont="1" applyFill="1" applyAlignment="1">
      <alignment horizontal="center"/>
    </xf>
    <xf numFmtId="164" fontId="13" fillId="2" borderId="0" xfId="7" applyNumberFormat="1" applyFont="1" applyFill="1" applyAlignment="1">
      <alignment horizontal="center"/>
    </xf>
    <xf numFmtId="164" fontId="13" fillId="2" borderId="0" xfId="7" applyNumberFormat="1" applyFont="1" applyFill="1"/>
    <xf numFmtId="0" fontId="13" fillId="2" borderId="0" xfId="7" applyFont="1" applyFill="1" applyBorder="1" applyAlignment="1">
      <alignment horizontal="center" vertical="top"/>
    </xf>
    <xf numFmtId="164" fontId="5" fillId="2" borderId="4" xfId="7" applyNumberFormat="1" applyFont="1" applyFill="1" applyBorder="1" applyAlignment="1">
      <alignment horizontal="right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/>
    </xf>
    <xf numFmtId="164" fontId="5" fillId="2" borderId="1" xfId="7" applyNumberFormat="1" applyFont="1" applyFill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top" wrapText="1"/>
    </xf>
    <xf numFmtId="49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 vertical="top"/>
    </xf>
    <xf numFmtId="49" fontId="6" fillId="2" borderId="1" xfId="7" applyNumberFormat="1" applyFont="1" applyFill="1" applyBorder="1" applyAlignment="1">
      <alignment horizontal="left" vertical="top" wrapText="1"/>
    </xf>
    <xf numFmtId="49" fontId="5" fillId="2" borderId="9" xfId="7" applyNumberFormat="1" applyFont="1" applyFill="1" applyBorder="1" applyAlignment="1">
      <alignment horizontal="center" vertical="top"/>
    </xf>
    <xf numFmtId="49" fontId="5" fillId="2" borderId="1" xfId="7" applyNumberFormat="1" applyFont="1" applyFill="1" applyBorder="1" applyAlignment="1">
      <alignment horizontal="center" vertical="top"/>
    </xf>
    <xf numFmtId="164" fontId="6" fillId="2" borderId="1" xfId="7" applyNumberFormat="1" applyFont="1" applyFill="1" applyBorder="1" applyAlignment="1">
      <alignment horizontal="right" vertical="top"/>
    </xf>
    <xf numFmtId="170" fontId="18" fillId="2" borderId="0" xfId="7" applyNumberFormat="1" applyFont="1" applyFill="1"/>
    <xf numFmtId="0" fontId="6" fillId="2" borderId="1" xfId="5" applyFont="1" applyFill="1" applyBorder="1" applyAlignment="1">
      <alignment horizontal="center" vertical="top"/>
    </xf>
    <xf numFmtId="49" fontId="6" fillId="2" borderId="1" xfId="7" applyNumberFormat="1" applyFont="1" applyFill="1" applyBorder="1" applyAlignment="1">
      <alignment horizontal="left" wrapText="1"/>
    </xf>
    <xf numFmtId="49" fontId="6" fillId="2" borderId="4" xfId="7" applyNumberFormat="1" applyFont="1" applyFill="1" applyBorder="1" applyAlignment="1">
      <alignment horizontal="center"/>
    </xf>
    <xf numFmtId="49" fontId="6" fillId="2" borderId="10" xfId="7" applyNumberFormat="1" applyFont="1" applyFill="1" applyBorder="1" applyAlignment="1">
      <alignment horizontal="center"/>
    </xf>
    <xf numFmtId="49" fontId="6" fillId="2" borderId="1" xfId="7" applyNumberFormat="1" applyFont="1" applyFill="1" applyBorder="1" applyAlignment="1">
      <alignment horizontal="center"/>
    </xf>
    <xf numFmtId="164" fontId="6" fillId="2" borderId="1" xfId="7" applyNumberFormat="1" applyFont="1" applyFill="1" applyBorder="1" applyAlignment="1">
      <alignment horizontal="right"/>
    </xf>
    <xf numFmtId="0" fontId="12" fillId="2" borderId="0" xfId="7" applyFont="1" applyFill="1"/>
    <xf numFmtId="49" fontId="5" fillId="2" borderId="1" xfId="0" applyNumberFormat="1" applyFont="1" applyFill="1" applyBorder="1" applyAlignment="1">
      <alignment wrapText="1"/>
    </xf>
    <xf numFmtId="164" fontId="5" fillId="2" borderId="1" xfId="7" applyNumberFormat="1" applyFont="1" applyFill="1" applyBorder="1" applyAlignment="1">
      <alignment horizontal="right"/>
    </xf>
    <xf numFmtId="49" fontId="5" fillId="2" borderId="1" xfId="5" applyNumberFormat="1" applyFont="1" applyFill="1" applyBorder="1" applyAlignment="1">
      <alignment horizontal="left" wrapText="1"/>
    </xf>
    <xf numFmtId="2" fontId="5" fillId="2" borderId="3" xfId="0" applyNumberFormat="1" applyFont="1" applyFill="1" applyBorder="1" applyAlignment="1">
      <alignment wrapText="1"/>
    </xf>
    <xf numFmtId="49" fontId="5" fillId="2" borderId="1" xfId="7" applyNumberFormat="1" applyFont="1" applyFill="1" applyBorder="1" applyAlignment="1">
      <alignment wrapText="1"/>
    </xf>
    <xf numFmtId="0" fontId="6" fillId="2" borderId="1" xfId="7" applyFont="1" applyFill="1" applyBorder="1" applyAlignment="1">
      <alignment horizontal="center" vertical="top"/>
    </xf>
    <xf numFmtId="49" fontId="6" fillId="2" borderId="9" xfId="7" applyNumberFormat="1" applyFont="1" applyFill="1" applyBorder="1" applyAlignment="1">
      <alignment horizontal="center"/>
    </xf>
    <xf numFmtId="49" fontId="6" fillId="2" borderId="3" xfId="7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4" applyNumberFormat="1" applyFont="1" applyFill="1" applyBorder="1" applyAlignment="1" applyProtection="1">
      <alignment horizontal="left" wrapText="1"/>
      <protection hidden="1"/>
    </xf>
    <xf numFmtId="0" fontId="13" fillId="2" borderId="1" xfId="7" applyFont="1" applyFill="1" applyBorder="1" applyAlignment="1">
      <alignment horizontal="center" vertical="top"/>
    </xf>
    <xf numFmtId="164" fontId="5" fillId="2" borderId="1" xfId="7" applyNumberFormat="1" applyFont="1" applyFill="1" applyBorder="1" applyAlignment="1"/>
    <xf numFmtId="49" fontId="5" fillId="2" borderId="2" xfId="6" applyNumberFormat="1" applyFont="1" applyFill="1" applyBorder="1" applyAlignment="1">
      <alignment horizontal="center"/>
    </xf>
    <xf numFmtId="49" fontId="5" fillId="2" borderId="9" xfId="6" applyNumberFormat="1" applyFont="1" applyFill="1" applyBorder="1" applyAlignment="1">
      <alignment horizontal="center"/>
    </xf>
    <xf numFmtId="49" fontId="5" fillId="2" borderId="3" xfId="6" applyNumberFormat="1" applyFont="1" applyFill="1" applyBorder="1" applyAlignment="1">
      <alignment horizontal="center"/>
    </xf>
    <xf numFmtId="49" fontId="5" fillId="2" borderId="1" xfId="6" applyNumberFormat="1" applyFont="1" applyFill="1" applyBorder="1" applyAlignment="1">
      <alignment horizontal="center"/>
    </xf>
    <xf numFmtId="49" fontId="5" fillId="2" borderId="4" xfId="7" applyNumberFormat="1" applyFont="1" applyFill="1" applyBorder="1" applyAlignment="1">
      <alignment horizontal="center"/>
    </xf>
    <xf numFmtId="49" fontId="5" fillId="2" borderId="0" xfId="7" applyNumberFormat="1" applyFont="1" applyFill="1" applyBorder="1" applyAlignment="1">
      <alignment horizontal="center"/>
    </xf>
    <xf numFmtId="49" fontId="5" fillId="2" borderId="11" xfId="7" applyNumberFormat="1" applyFont="1" applyFill="1" applyBorder="1" applyAlignment="1">
      <alignment horizontal="center"/>
    </xf>
    <xf numFmtId="49" fontId="6" fillId="2" borderId="1" xfId="7" applyNumberFormat="1" applyFont="1" applyFill="1" applyBorder="1" applyAlignment="1">
      <alignment wrapText="1"/>
    </xf>
    <xf numFmtId="49" fontId="5" fillId="2" borderId="9" xfId="14" applyNumberFormat="1" applyFont="1" applyFill="1" applyBorder="1" applyAlignment="1">
      <alignment horizontal="center"/>
    </xf>
    <xf numFmtId="49" fontId="5" fillId="2" borderId="1" xfId="14" applyNumberFormat="1" applyFont="1" applyFill="1" applyBorder="1" applyAlignment="1">
      <alignment horizontal="center"/>
    </xf>
    <xf numFmtId="49" fontId="5" fillId="2" borderId="1" xfId="6" applyNumberFormat="1" applyFont="1" applyFill="1" applyBorder="1" applyAlignment="1">
      <alignment horizontal="left" wrapText="1"/>
    </xf>
    <xf numFmtId="49" fontId="5" fillId="2" borderId="3" xfId="6" applyNumberFormat="1" applyFont="1" applyFill="1" applyBorder="1" applyAlignment="1">
      <alignment horizontal="left" wrapText="1"/>
    </xf>
    <xf numFmtId="0" fontId="5" fillId="2" borderId="1" xfId="5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/>
    </xf>
    <xf numFmtId="49" fontId="6" fillId="2" borderId="1" xfId="5" applyNumberFormat="1" applyFont="1" applyFill="1" applyBorder="1" applyAlignment="1">
      <alignment horizontal="left" wrapText="1"/>
    </xf>
    <xf numFmtId="49" fontId="6" fillId="2" borderId="9" xfId="6" applyNumberFormat="1" applyFont="1" applyFill="1" applyBorder="1" applyAlignment="1">
      <alignment horizontal="center"/>
    </xf>
    <xf numFmtId="166" fontId="6" fillId="2" borderId="1" xfId="7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wrapText="1"/>
    </xf>
    <xf numFmtId="49" fontId="5" fillId="2" borderId="6" xfId="11" applyNumberFormat="1" applyFont="1" applyFill="1" applyBorder="1" applyAlignment="1">
      <alignment horizontal="center"/>
    </xf>
    <xf numFmtId="49" fontId="5" fillId="2" borderId="7" xfId="5" applyNumberFormat="1" applyFont="1" applyFill="1" applyBorder="1" applyAlignment="1">
      <alignment horizontal="center"/>
    </xf>
    <xf numFmtId="49" fontId="5" fillId="2" borderId="8" xfId="5" applyNumberFormat="1" applyFont="1" applyFill="1" applyBorder="1" applyAlignment="1">
      <alignment horizontal="center"/>
    </xf>
    <xf numFmtId="166" fontId="5" fillId="2" borderId="1" xfId="7" applyNumberFormat="1" applyFont="1" applyFill="1" applyBorder="1" applyAlignment="1">
      <alignment horizontal="center"/>
    </xf>
    <xf numFmtId="49" fontId="5" fillId="2" borderId="6" xfId="6" applyNumberFormat="1" applyFont="1" applyFill="1" applyBorder="1" applyAlignment="1">
      <alignment horizontal="center"/>
    </xf>
    <xf numFmtId="49" fontId="5" fillId="2" borderId="0" xfId="5" applyNumberFormat="1" applyFont="1" applyFill="1" applyBorder="1" applyAlignment="1">
      <alignment horizontal="center"/>
    </xf>
    <xf numFmtId="49" fontId="5" fillId="2" borderId="22" xfId="14" applyNumberFormat="1" applyFont="1" applyFill="1" applyBorder="1" applyAlignment="1">
      <alignment wrapText="1"/>
    </xf>
    <xf numFmtId="49" fontId="5" fillId="2" borderId="17" xfId="6" applyNumberFormat="1" applyFont="1" applyFill="1" applyBorder="1" applyAlignment="1">
      <alignment horizontal="center"/>
    </xf>
    <xf numFmtId="49" fontId="5" fillId="2" borderId="18" xfId="14" applyNumberFormat="1" applyFont="1" applyFill="1" applyBorder="1" applyAlignment="1">
      <alignment horizontal="center"/>
    </xf>
    <xf numFmtId="49" fontId="5" fillId="2" borderId="16" xfId="14" applyNumberFormat="1" applyFont="1" applyFill="1" applyBorder="1" applyAlignment="1">
      <alignment wrapText="1"/>
    </xf>
    <xf numFmtId="49" fontId="5" fillId="2" borderId="17" xfId="5" applyNumberFormat="1" applyFont="1" applyFill="1" applyBorder="1" applyAlignment="1">
      <alignment wrapText="1"/>
    </xf>
    <xf numFmtId="49" fontId="5" fillId="2" borderId="26" xfId="6" applyNumberFormat="1" applyFont="1" applyFill="1" applyBorder="1" applyAlignment="1">
      <alignment horizontal="center"/>
    </xf>
    <xf numFmtId="49" fontId="5" fillId="2" borderId="20" xfId="6" applyNumberFormat="1" applyFont="1" applyFill="1" applyBorder="1" applyAlignment="1">
      <alignment horizontal="center"/>
    </xf>
    <xf numFmtId="49" fontId="5" fillId="2" borderId="20" xfId="14" applyNumberFormat="1" applyFont="1" applyFill="1" applyBorder="1" applyAlignment="1">
      <alignment horizontal="center"/>
    </xf>
    <xf numFmtId="49" fontId="5" fillId="2" borderId="3" xfId="14" applyNumberFormat="1" applyFont="1" applyFill="1" applyBorder="1" applyAlignment="1">
      <alignment horizontal="center"/>
    </xf>
    <xf numFmtId="49" fontId="5" fillId="2" borderId="7" xfId="14" applyNumberFormat="1" applyFont="1" applyFill="1" applyBorder="1" applyAlignment="1">
      <alignment horizontal="center"/>
    </xf>
    <xf numFmtId="49" fontId="5" fillId="2" borderId="8" xfId="14" applyNumberFormat="1" applyFont="1" applyFill="1" applyBorder="1" applyAlignment="1">
      <alignment horizontal="center"/>
    </xf>
    <xf numFmtId="49" fontId="5" fillId="2" borderId="9" xfId="5" applyNumberFormat="1" applyFont="1" applyFill="1" applyBorder="1" applyAlignment="1">
      <alignment wrapText="1"/>
    </xf>
    <xf numFmtId="49" fontId="5" fillId="2" borderId="3" xfId="5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wrapText="1"/>
    </xf>
    <xf numFmtId="49" fontId="5" fillId="2" borderId="16" xfId="5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3" xfId="4" applyNumberFormat="1" applyFont="1" applyFill="1" applyBorder="1" applyAlignment="1" applyProtection="1">
      <alignment horizontal="left" wrapText="1"/>
      <protection hidden="1"/>
    </xf>
    <xf numFmtId="49" fontId="5" fillId="2" borderId="3" xfId="5" applyNumberFormat="1" applyFont="1" applyFill="1" applyBorder="1" applyAlignment="1">
      <alignment horizontal="left" wrapText="1"/>
    </xf>
    <xf numFmtId="49" fontId="6" fillId="2" borderId="1" xfId="6" applyNumberFormat="1" applyFont="1" applyFill="1" applyBorder="1" applyAlignment="1">
      <alignment horizontal="center"/>
    </xf>
    <xf numFmtId="49" fontId="6" fillId="2" borderId="1" xfId="4" applyNumberFormat="1" applyFont="1" applyFill="1" applyBorder="1" applyAlignment="1" applyProtection="1">
      <alignment horizontal="left" wrapText="1"/>
      <protection hidden="1"/>
    </xf>
    <xf numFmtId="0" fontId="5" fillId="2" borderId="0" xfId="7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/>
    </xf>
    <xf numFmtId="164" fontId="5" fillId="2" borderId="0" xfId="7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 wrapText="1"/>
    </xf>
    <xf numFmtId="49" fontId="5" fillId="2" borderId="13" xfId="14" applyNumberFormat="1" applyFont="1" applyFill="1" applyBorder="1" applyAlignment="1">
      <alignment horizontal="center"/>
    </xf>
    <xf numFmtId="0" fontId="5" fillId="0" borderId="10" xfId="3" applyFont="1" applyFill="1" applyBorder="1" applyAlignment="1">
      <alignment vertical="top" wrapText="1"/>
    </xf>
    <xf numFmtId="173" fontId="6" fillId="0" borderId="11" xfId="13" applyNumberFormat="1" applyFont="1" applyFill="1" applyBorder="1" applyAlignment="1">
      <alignment horizontal="center" vertical="center"/>
    </xf>
    <xf numFmtId="173" fontId="6" fillId="0" borderId="12" xfId="13" applyNumberFormat="1" applyFont="1" applyFill="1" applyBorder="1" applyAlignment="1">
      <alignment horizontal="center" vertical="center"/>
    </xf>
    <xf numFmtId="173" fontId="5" fillId="0" borderId="11" xfId="13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73" fontId="6" fillId="2" borderId="11" xfId="13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right"/>
    </xf>
    <xf numFmtId="49" fontId="3" fillId="2" borderId="23" xfId="6" applyNumberFormat="1" applyFont="1" applyFill="1" applyBorder="1" applyAlignment="1">
      <alignment horizontal="left" wrapText="1"/>
    </xf>
    <xf numFmtId="49" fontId="3" fillId="2" borderId="19" xfId="5" applyNumberFormat="1" applyFont="1" applyFill="1" applyBorder="1" applyAlignment="1">
      <alignment wrapText="1"/>
    </xf>
    <xf numFmtId="0" fontId="13" fillId="4" borderId="0" xfId="3" applyFont="1" applyFill="1"/>
    <xf numFmtId="0" fontId="5" fillId="3" borderId="0" xfId="0" applyFont="1" applyFill="1"/>
    <xf numFmtId="0" fontId="5" fillId="3" borderId="1" xfId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3" applyFont="1" applyAlignment="1">
      <alignment wrapText="1"/>
    </xf>
    <xf numFmtId="170" fontId="3" fillId="0" borderId="0" xfId="8" applyNumberFormat="1" applyFont="1" applyFill="1" applyAlignment="1">
      <alignment horizontal="right"/>
    </xf>
    <xf numFmtId="0" fontId="3" fillId="0" borderId="5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top"/>
    </xf>
    <xf numFmtId="0" fontId="3" fillId="0" borderId="0" xfId="3" applyFont="1" applyBorder="1" applyAlignment="1"/>
    <xf numFmtId="0" fontId="7" fillId="0" borderId="0" xfId="8" applyBorder="1" applyAlignment="1"/>
    <xf numFmtId="168" fontId="3" fillId="0" borderId="0" xfId="1" applyNumberFormat="1" applyFont="1" applyFill="1"/>
    <xf numFmtId="0" fontId="3" fillId="0" borderId="0" xfId="8" applyFont="1"/>
    <xf numFmtId="1" fontId="3" fillId="0" borderId="0" xfId="8" applyNumberFormat="1" applyFont="1"/>
    <xf numFmtId="168" fontId="3" fillId="0" borderId="0" xfId="8" applyNumberFormat="1" applyFont="1" applyFill="1" applyAlignment="1">
      <alignment horizontal="right"/>
    </xf>
    <xf numFmtId="49" fontId="3" fillId="0" borderId="0" xfId="8" applyNumberFormat="1" applyFont="1" applyFill="1" applyAlignment="1">
      <alignment horizontal="center"/>
    </xf>
    <xf numFmtId="166" fontId="33" fillId="0" borderId="0" xfId="8" applyNumberFormat="1" applyFont="1" applyFill="1"/>
    <xf numFmtId="166" fontId="10" fillId="0" borderId="0" xfId="8" applyNumberFormat="1" applyFont="1" applyFill="1"/>
    <xf numFmtId="0" fontId="10" fillId="0" borderId="0" xfId="8" applyFont="1" applyFill="1"/>
    <xf numFmtId="49" fontId="10" fillId="0" borderId="0" xfId="8" applyNumberFormat="1" applyFont="1" applyFill="1" applyAlignment="1">
      <alignment horizontal="center"/>
    </xf>
    <xf numFmtId="0" fontId="3" fillId="0" borderId="0" xfId="8" applyFont="1" applyFill="1" applyAlignment="1">
      <alignment horizontal="right"/>
    </xf>
    <xf numFmtId="1" fontId="3" fillId="0" borderId="0" xfId="8" applyNumberFormat="1" applyFont="1" applyFill="1" applyAlignment="1">
      <alignment horizontal="right"/>
    </xf>
    <xf numFmtId="0" fontId="19" fillId="2" borderId="0" xfId="3" applyFont="1" applyFill="1"/>
    <xf numFmtId="165" fontId="3" fillId="0" borderId="1" xfId="3" applyNumberFormat="1" applyFont="1" applyFill="1" applyBorder="1" applyAlignment="1">
      <alignment horizontal="center"/>
    </xf>
    <xf numFmtId="172" fontId="12" fillId="2" borderId="0" xfId="0" applyNumberFormat="1" applyFont="1" applyFill="1"/>
    <xf numFmtId="0" fontId="3" fillId="0" borderId="1" xfId="3" applyFont="1" applyBorder="1" applyAlignment="1">
      <alignment wrapText="1"/>
    </xf>
    <xf numFmtId="164" fontId="3" fillId="0" borderId="1" xfId="3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/>
    </xf>
    <xf numFmtId="49" fontId="5" fillId="2" borderId="2" xfId="7" applyNumberFormat="1" applyFont="1" applyFill="1" applyBorder="1" applyAlignment="1">
      <alignment horizontal="center"/>
    </xf>
    <xf numFmtId="49" fontId="5" fillId="2" borderId="9" xfId="7" applyNumberFormat="1" applyFont="1" applyFill="1" applyBorder="1" applyAlignment="1">
      <alignment horizontal="center"/>
    </xf>
    <xf numFmtId="49" fontId="5" fillId="2" borderId="3" xfId="7" applyNumberFormat="1" applyFont="1" applyFill="1" applyBorder="1" applyAlignment="1">
      <alignment horizontal="center"/>
    </xf>
    <xf numFmtId="1" fontId="4" fillId="2" borderId="0" xfId="2" applyNumberFormat="1" applyFont="1" applyFill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wrapText="1"/>
    </xf>
    <xf numFmtId="168" fontId="5" fillId="2" borderId="0" xfId="1" applyNumberFormat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/>
    <xf numFmtId="165" fontId="5" fillId="2" borderId="1" xfId="0" applyNumberFormat="1" applyFont="1" applyFill="1" applyBorder="1"/>
    <xf numFmtId="164" fontId="5" fillId="2" borderId="0" xfId="1" applyNumberFormat="1" applyFont="1" applyFill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7" applyFont="1" applyFill="1" applyBorder="1" applyAlignment="1">
      <alignment vertical="top" wrapText="1"/>
    </xf>
    <xf numFmtId="165" fontId="5" fillId="2" borderId="1" xfId="1" applyNumberFormat="1" applyFont="1" applyFill="1" applyBorder="1" applyAlignment="1"/>
    <xf numFmtId="0" fontId="8" fillId="2" borderId="0" xfId="1" applyFont="1" applyFill="1"/>
    <xf numFmtId="0" fontId="5" fillId="2" borderId="1" xfId="1" applyFont="1" applyFill="1" applyBorder="1" applyAlignment="1">
      <alignment vertical="top"/>
    </xf>
    <xf numFmtId="2" fontId="5" fillId="2" borderId="0" xfId="1" applyNumberFormat="1" applyFont="1" applyFill="1"/>
    <xf numFmtId="0" fontId="5" fillId="2" borderId="0" xfId="7" applyFont="1" applyFill="1" applyBorder="1"/>
    <xf numFmtId="168" fontId="5" fillId="2" borderId="0" xfId="1" applyNumberFormat="1" applyFont="1" applyFill="1"/>
    <xf numFmtId="0" fontId="5" fillId="2" borderId="0" xfId="7" applyFont="1" applyFill="1" applyAlignment="1">
      <alignment wrapText="1"/>
    </xf>
    <xf numFmtId="168" fontId="5" fillId="2" borderId="0" xfId="7" applyNumberFormat="1" applyFont="1" applyFill="1" applyBorder="1"/>
    <xf numFmtId="165" fontId="6" fillId="2" borderId="1" xfId="10" applyNumberFormat="1" applyFont="1" applyFill="1" applyBorder="1" applyAlignment="1">
      <alignment vertical="top"/>
    </xf>
    <xf numFmtId="165" fontId="4" fillId="2" borderId="1" xfId="10" applyNumberFormat="1" applyFont="1" applyFill="1" applyBorder="1" applyAlignment="1">
      <alignment vertical="top"/>
    </xf>
    <xf numFmtId="168" fontId="3" fillId="2" borderId="0" xfId="1" applyNumberFormat="1" applyFont="1" applyFill="1" applyBorder="1" applyAlignment="1">
      <alignment horizontal="center"/>
    </xf>
    <xf numFmtId="166" fontId="5" fillId="2" borderId="1" xfId="3" applyNumberFormat="1" applyFont="1" applyFill="1" applyBorder="1" applyAlignment="1">
      <alignment horizontal="center" vertical="center"/>
    </xf>
    <xf numFmtId="166" fontId="5" fillId="2" borderId="0" xfId="3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/>
    <xf numFmtId="164" fontId="4" fillId="2" borderId="1" xfId="10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left"/>
    </xf>
    <xf numFmtId="164" fontId="3" fillId="2" borderId="1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vertical="top" wrapText="1"/>
    </xf>
    <xf numFmtId="49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164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0" fontId="6" fillId="2" borderId="1" xfId="3" applyFont="1" applyFill="1" applyBorder="1" applyAlignment="1">
      <alignment horizontal="center" vertical="top" wrapText="1"/>
    </xf>
    <xf numFmtId="0" fontId="16" fillId="2" borderId="0" xfId="3" applyFont="1" applyFill="1"/>
    <xf numFmtId="164" fontId="5" fillId="2" borderId="1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vertical="top"/>
    </xf>
    <xf numFmtId="164" fontId="6" fillId="2" borderId="1" xfId="3" applyNumberFormat="1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/>
    <xf numFmtId="49" fontId="3" fillId="2" borderId="1" xfId="7" applyNumberFormat="1" applyFont="1" applyFill="1" applyBorder="1" applyAlignment="1">
      <alignment horizontal="left" wrapText="1"/>
    </xf>
    <xf numFmtId="49" fontId="4" fillId="2" borderId="1" xfId="7" applyNumberFormat="1" applyFont="1" applyFill="1" applyBorder="1" applyAlignment="1">
      <alignment horizontal="left" wrapText="1"/>
    </xf>
    <xf numFmtId="164" fontId="4" fillId="2" borderId="1" xfId="3" applyNumberFormat="1" applyFont="1" applyFill="1" applyBorder="1" applyAlignment="1"/>
    <xf numFmtId="0" fontId="15" fillId="2" borderId="1" xfId="3" applyFont="1" applyFill="1" applyBorder="1" applyAlignment="1">
      <alignment vertical="top"/>
    </xf>
    <xf numFmtId="164" fontId="3" fillId="2" borderId="1" xfId="3" applyNumberFormat="1" applyFont="1" applyFill="1" applyBorder="1" applyAlignment="1"/>
    <xf numFmtId="166" fontId="5" fillId="2" borderId="0" xfId="7" applyNumberFormat="1" applyFont="1" applyFill="1" applyBorder="1" applyAlignment="1">
      <alignment horizontal="right"/>
    </xf>
    <xf numFmtId="49" fontId="5" fillId="2" borderId="14" xfId="7" applyNumberFormat="1" applyFont="1" applyFill="1" applyBorder="1" applyAlignment="1">
      <alignment horizontal="center"/>
    </xf>
    <xf numFmtId="49" fontId="5" fillId="2" borderId="10" xfId="7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top" wrapText="1"/>
    </xf>
    <xf numFmtId="164" fontId="5" fillId="2" borderId="1" xfId="7" applyNumberFormat="1" applyFont="1" applyFill="1" applyBorder="1"/>
    <xf numFmtId="49" fontId="4" fillId="2" borderId="3" xfId="0" applyNumberFormat="1" applyFont="1" applyFill="1" applyBorder="1" applyAlignment="1">
      <alignment vertical="top" wrapText="1"/>
    </xf>
    <xf numFmtId="49" fontId="3" fillId="2" borderId="1" xfId="6" applyNumberFormat="1" applyFont="1" applyFill="1" applyBorder="1" applyAlignment="1">
      <alignment horizontal="center" vertical="top" wrapText="1"/>
    </xf>
    <xf numFmtId="49" fontId="3" fillId="2" borderId="1" xfId="6" applyNumberFormat="1" applyFont="1" applyFill="1" applyBorder="1" applyAlignment="1">
      <alignment horizontal="center" vertical="top"/>
    </xf>
    <xf numFmtId="49" fontId="3" fillId="2" borderId="2" xfId="6" applyNumberFormat="1" applyFont="1" applyFill="1" applyBorder="1" applyAlignment="1">
      <alignment horizontal="center" vertical="top"/>
    </xf>
    <xf numFmtId="49" fontId="3" fillId="2" borderId="9" xfId="6" applyNumberFormat="1" applyFont="1" applyFill="1" applyBorder="1" applyAlignment="1">
      <alignment horizontal="center" vertical="top"/>
    </xf>
    <xf numFmtId="49" fontId="3" fillId="2" borderId="3" xfId="6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right" vertical="top"/>
    </xf>
    <xf numFmtId="164" fontId="3" fillId="2" borderId="1" xfId="5" applyNumberFormat="1" applyFont="1" applyFill="1" applyBorder="1" applyAlignment="1">
      <alignment horizontal="right"/>
    </xf>
    <xf numFmtId="49" fontId="5" fillId="2" borderId="3" xfId="7" applyNumberFormat="1" applyFont="1" applyFill="1" applyBorder="1" applyAlignment="1">
      <alignment wrapText="1"/>
    </xf>
    <xf numFmtId="0" fontId="4" fillId="2" borderId="1" xfId="5" applyFont="1" applyFill="1" applyBorder="1" applyAlignment="1">
      <alignment horizontal="center" vertical="top"/>
    </xf>
    <xf numFmtId="49" fontId="4" fillId="2" borderId="3" xfId="5" applyNumberFormat="1" applyFont="1" applyFill="1" applyBorder="1" applyAlignment="1">
      <alignment wrapText="1"/>
    </xf>
    <xf numFmtId="49" fontId="4" fillId="2" borderId="1" xfId="5" applyNumberFormat="1" applyFont="1" applyFill="1" applyBorder="1" applyAlignment="1">
      <alignment horizontal="center" wrapText="1"/>
    </xf>
    <xf numFmtId="49" fontId="4" fillId="2" borderId="1" xfId="5" applyNumberFormat="1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/>
    </xf>
    <xf numFmtId="49" fontId="4" fillId="2" borderId="9" xfId="5" applyNumberFormat="1" applyFont="1" applyFill="1" applyBorder="1" applyAlignment="1">
      <alignment horizontal="center"/>
    </xf>
    <xf numFmtId="49" fontId="4" fillId="2" borderId="3" xfId="5" applyNumberFormat="1" applyFont="1" applyFill="1" applyBorder="1" applyAlignment="1">
      <alignment horizontal="center"/>
    </xf>
    <xf numFmtId="164" fontId="4" fillId="2" borderId="1" xfId="5" applyNumberFormat="1" applyFont="1" applyFill="1" applyBorder="1" applyAlignment="1">
      <alignment horizontal="right"/>
    </xf>
    <xf numFmtId="49" fontId="3" fillId="2" borderId="2" xfId="5" applyNumberFormat="1" applyFont="1" applyFill="1" applyBorder="1" applyAlignment="1">
      <alignment horizontal="center"/>
    </xf>
    <xf numFmtId="49" fontId="3" fillId="2" borderId="6" xfId="11" applyNumberFormat="1" applyFont="1" applyFill="1" applyBorder="1" applyAlignment="1">
      <alignment horizontal="center"/>
    </xf>
    <xf numFmtId="49" fontId="3" fillId="2" borderId="0" xfId="5" applyNumberFormat="1" applyFont="1" applyFill="1" applyBorder="1" applyAlignment="1">
      <alignment horizontal="center"/>
    </xf>
    <xf numFmtId="0" fontId="3" fillId="2" borderId="13" xfId="14" applyFont="1" applyFill="1" applyBorder="1" applyAlignment="1">
      <alignment horizontal="center" vertical="top"/>
    </xf>
    <xf numFmtId="49" fontId="3" fillId="2" borderId="23" xfId="14" applyNumberFormat="1" applyFont="1" applyFill="1" applyBorder="1" applyAlignment="1">
      <alignment wrapText="1"/>
    </xf>
    <xf numFmtId="49" fontId="3" fillId="2" borderId="25" xfId="11" applyNumberFormat="1" applyFont="1" applyFill="1" applyBorder="1" applyAlignment="1">
      <alignment horizontal="center" wrapText="1"/>
    </xf>
    <xf numFmtId="49" fontId="3" fillId="2" borderId="25" xfId="11" applyNumberFormat="1" applyFont="1" applyFill="1" applyBorder="1" applyAlignment="1">
      <alignment horizontal="center"/>
    </xf>
    <xf numFmtId="49" fontId="3" fillId="2" borderId="17" xfId="6" applyNumberFormat="1" applyFont="1" applyFill="1" applyBorder="1" applyAlignment="1">
      <alignment horizontal="center"/>
    </xf>
    <xf numFmtId="49" fontId="3" fillId="2" borderId="18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horizontal="center"/>
    </xf>
    <xf numFmtId="164" fontId="3" fillId="2" borderId="22" xfId="14" applyNumberFormat="1" applyFont="1" applyFill="1" applyBorder="1" applyAlignment="1">
      <alignment horizontal="right"/>
    </xf>
    <xf numFmtId="49" fontId="3" fillId="2" borderId="18" xfId="14" applyNumberFormat="1" applyFont="1" applyFill="1" applyBorder="1" applyAlignment="1">
      <alignment wrapText="1"/>
    </xf>
    <xf numFmtId="49" fontId="3" fillId="2" borderId="18" xfId="6" applyNumberFormat="1" applyFont="1" applyFill="1" applyBorder="1" applyAlignment="1">
      <alignment horizontal="center"/>
    </xf>
    <xf numFmtId="49" fontId="3" fillId="2" borderId="16" xfId="14" applyNumberFormat="1" applyFont="1" applyFill="1" applyBorder="1" applyAlignment="1">
      <alignment horizontal="center"/>
    </xf>
    <xf numFmtId="164" fontId="3" fillId="2" borderId="16" xfId="14" applyNumberFormat="1" applyFont="1" applyFill="1" applyBorder="1" applyAlignment="1">
      <alignment horizontal="right"/>
    </xf>
    <xf numFmtId="0" fontId="3" fillId="2" borderId="5" xfId="14" applyFont="1" applyFill="1" applyBorder="1" applyAlignment="1">
      <alignment horizontal="center" vertical="top"/>
    </xf>
    <xf numFmtId="49" fontId="3" fillId="2" borderId="5" xfId="11" applyNumberFormat="1" applyFont="1" applyFill="1" applyBorder="1" applyAlignment="1">
      <alignment horizontal="center" wrapText="1"/>
    </xf>
    <xf numFmtId="49" fontId="3" fillId="2" borderId="20" xfId="6" applyNumberFormat="1" applyFont="1" applyFill="1" applyBorder="1" applyAlignment="1">
      <alignment horizontal="center"/>
    </xf>
    <xf numFmtId="49" fontId="3" fillId="2" borderId="20" xfId="14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horizontal="center"/>
    </xf>
    <xf numFmtId="49" fontId="3" fillId="2" borderId="24" xfId="14" applyNumberFormat="1" applyFont="1" applyFill="1" applyBorder="1" applyAlignment="1">
      <alignment horizontal="center"/>
    </xf>
    <xf numFmtId="164" fontId="3" fillId="2" borderId="24" xfId="14" applyNumberFormat="1" applyFont="1" applyFill="1" applyBorder="1" applyAlignment="1">
      <alignment horizontal="right"/>
    </xf>
    <xf numFmtId="49" fontId="3" fillId="2" borderId="1" xfId="5" applyNumberFormat="1" applyFont="1" applyFill="1" applyBorder="1" applyAlignment="1">
      <alignment wrapText="1"/>
    </xf>
    <xf numFmtId="49" fontId="3" fillId="2" borderId="3" xfId="14" applyNumberFormat="1" applyFont="1" applyFill="1" applyBorder="1" applyAlignment="1">
      <alignment horizontal="center"/>
    </xf>
    <xf numFmtId="49" fontId="3" fillId="2" borderId="1" xfId="14" applyNumberFormat="1" applyFont="1" applyFill="1" applyBorder="1" applyAlignment="1">
      <alignment horizontal="center"/>
    </xf>
    <xf numFmtId="164" fontId="3" fillId="2" borderId="1" xfId="14" applyNumberFormat="1" applyFont="1" applyFill="1" applyBorder="1" applyAlignment="1">
      <alignment horizontal="right"/>
    </xf>
    <xf numFmtId="49" fontId="3" fillId="2" borderId="7" xfId="14" applyNumberFormat="1" applyFont="1" applyFill="1" applyBorder="1" applyAlignment="1">
      <alignment horizontal="center"/>
    </xf>
    <xf numFmtId="49" fontId="3" fillId="2" borderId="8" xfId="14" applyNumberFormat="1" applyFont="1" applyFill="1" applyBorder="1" applyAlignment="1">
      <alignment horizontal="center"/>
    </xf>
    <xf numFmtId="49" fontId="3" fillId="2" borderId="9" xfId="5" applyNumberFormat="1" applyFont="1" applyFill="1" applyBorder="1" applyAlignment="1">
      <alignment wrapText="1"/>
    </xf>
    <xf numFmtId="2" fontId="3" fillId="2" borderId="23" xfId="14" applyNumberFormat="1" applyFont="1" applyFill="1" applyBorder="1" applyAlignment="1">
      <alignment wrapText="1"/>
    </xf>
    <xf numFmtId="49" fontId="3" fillId="2" borderId="22" xfId="11" applyNumberFormat="1" applyFont="1" applyFill="1" applyBorder="1" applyAlignment="1">
      <alignment horizontal="center" wrapText="1"/>
    </xf>
    <xf numFmtId="49" fontId="3" fillId="2" borderId="22" xfId="11" applyNumberFormat="1" applyFont="1" applyFill="1" applyBorder="1" applyAlignment="1">
      <alignment horizontal="center"/>
    </xf>
    <xf numFmtId="49" fontId="3" fillId="2" borderId="23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wrapText="1"/>
    </xf>
    <xf numFmtId="49" fontId="3" fillId="2" borderId="16" xfId="11" applyNumberFormat="1" applyFont="1" applyFill="1" applyBorder="1" applyAlignment="1">
      <alignment horizontal="center" wrapText="1"/>
    </xf>
    <xf numFmtId="49" fontId="3" fillId="2" borderId="16" xfId="11" applyNumberFormat="1" applyFont="1" applyFill="1" applyBorder="1" applyAlignment="1">
      <alignment horizontal="center"/>
    </xf>
    <xf numFmtId="49" fontId="3" fillId="2" borderId="5" xfId="14" applyNumberFormat="1" applyFont="1" applyFill="1" applyBorder="1" applyAlignment="1">
      <alignment horizontal="center"/>
    </xf>
    <xf numFmtId="164" fontId="3" fillId="2" borderId="5" xfId="14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vertical="center" wrapText="1"/>
    </xf>
    <xf numFmtId="166" fontId="22" fillId="2" borderId="0" xfId="0" applyNumberFormat="1" applyFont="1" applyFill="1"/>
    <xf numFmtId="166" fontId="5" fillId="2" borderId="0" xfId="0" applyNumberFormat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vertical="center" wrapText="1"/>
    </xf>
    <xf numFmtId="167" fontId="5" fillId="2" borderId="13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 applyProtection="1">
      <alignment horizontal="left" wrapText="1"/>
      <protection hidden="1"/>
    </xf>
    <xf numFmtId="49" fontId="3" fillId="2" borderId="1" xfId="6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4" fillId="2" borderId="1" xfId="5" applyNumberFormat="1" applyFont="1" applyFill="1" applyBorder="1" applyAlignment="1">
      <alignment wrapText="1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49" fontId="3" fillId="2" borderId="7" xfId="6" applyNumberFormat="1" applyFont="1" applyFill="1" applyBorder="1" applyAlignment="1">
      <alignment horizontal="center"/>
    </xf>
    <xf numFmtId="49" fontId="3" fillId="2" borderId="1" xfId="12" applyNumberFormat="1" applyFont="1" applyFill="1" applyBorder="1" applyAlignment="1">
      <alignment horizontal="center" wrapText="1"/>
    </xf>
    <xf numFmtId="49" fontId="3" fillId="2" borderId="1" xfId="12" applyNumberFormat="1" applyFont="1" applyFill="1" applyBorder="1" applyAlignment="1">
      <alignment horizontal="center"/>
    </xf>
    <xf numFmtId="49" fontId="3" fillId="2" borderId="9" xfId="12" applyNumberFormat="1" applyFont="1" applyFill="1" applyBorder="1" applyAlignment="1">
      <alignment horizontal="center"/>
    </xf>
    <xf numFmtId="49" fontId="3" fillId="2" borderId="3" xfId="12" applyNumberFormat="1" applyFont="1" applyFill="1" applyBorder="1" applyAlignment="1">
      <alignment horizontal="center"/>
    </xf>
    <xf numFmtId="167" fontId="17" fillId="2" borderId="0" xfId="0" applyNumberFormat="1" applyFont="1" applyFill="1"/>
    <xf numFmtId="2" fontId="3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/>
    </xf>
    <xf numFmtId="0" fontId="24" fillId="2" borderId="0" xfId="0" applyFont="1" applyFill="1"/>
    <xf numFmtId="166" fontId="24" fillId="2" borderId="0" xfId="0" applyNumberFormat="1" applyFont="1" applyFill="1"/>
    <xf numFmtId="49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/>
    <xf numFmtId="0" fontId="5" fillId="2" borderId="0" xfId="0" applyFont="1" applyFill="1" applyAlignment="1"/>
    <xf numFmtId="0" fontId="6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3" fillId="2" borderId="1" xfId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5" fillId="0" borderId="3" xfId="5" applyNumberFormat="1" applyFont="1" applyFill="1" applyBorder="1" applyAlignment="1">
      <alignment wrapText="1"/>
    </xf>
    <xf numFmtId="49" fontId="5" fillId="0" borderId="2" xfId="11" applyNumberFormat="1" applyFont="1" applyFill="1" applyBorder="1" applyAlignment="1">
      <alignment horizontal="center"/>
    </xf>
    <xf numFmtId="49" fontId="5" fillId="0" borderId="9" xfId="5" applyNumberFormat="1" applyFont="1" applyFill="1" applyBorder="1" applyAlignment="1">
      <alignment horizontal="center"/>
    </xf>
    <xf numFmtId="49" fontId="5" fillId="0" borderId="3" xfId="5" applyNumberFormat="1" applyFont="1" applyFill="1" applyBorder="1" applyAlignment="1">
      <alignment horizontal="center" wrapText="1"/>
    </xf>
    <xf numFmtId="49" fontId="5" fillId="0" borderId="1" xfId="5" applyNumberFormat="1" applyFont="1" applyFill="1" applyBorder="1" applyAlignment="1">
      <alignment horizontal="center"/>
    </xf>
    <xf numFmtId="164" fontId="5" fillId="0" borderId="1" xfId="7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49" fontId="3" fillId="0" borderId="3" xfId="6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49" fontId="3" fillId="2" borderId="3" xfId="4" applyNumberFormat="1" applyFont="1" applyFill="1" applyBorder="1" applyAlignment="1" applyProtection="1">
      <alignment horizontal="left" vertical="top" wrapText="1"/>
      <protection hidden="1"/>
    </xf>
    <xf numFmtId="49" fontId="3" fillId="2" borderId="3" xfId="5" applyNumberFormat="1" applyFont="1" applyFill="1" applyBorder="1" applyAlignment="1">
      <alignment vertical="top" wrapText="1"/>
    </xf>
    <xf numFmtId="49" fontId="3" fillId="2" borderId="20" xfId="5" applyNumberFormat="1" applyFont="1" applyFill="1" applyBorder="1" applyAlignment="1">
      <alignment vertical="top" wrapText="1"/>
    </xf>
    <xf numFmtId="49" fontId="3" fillId="2" borderId="3" xfId="5" applyNumberFormat="1" applyFont="1" applyFill="1" applyBorder="1" applyAlignment="1">
      <alignment horizontal="left" vertical="top" wrapText="1"/>
    </xf>
    <xf numFmtId="0" fontId="4" fillId="0" borderId="0" xfId="3" applyFont="1" applyAlignment="1">
      <alignment wrapText="1"/>
    </xf>
    <xf numFmtId="49" fontId="3" fillId="0" borderId="1" xfId="11" applyNumberFormat="1" applyFont="1" applyFill="1" applyBorder="1" applyAlignment="1">
      <alignment horizontal="center" wrapText="1"/>
    </xf>
    <xf numFmtId="49" fontId="3" fillId="0" borderId="1" xfId="11" applyNumberFormat="1" applyFont="1" applyFill="1" applyBorder="1" applyAlignment="1">
      <alignment horizontal="center"/>
    </xf>
    <xf numFmtId="49" fontId="3" fillId="0" borderId="2" xfId="11" applyNumberFormat="1" applyFont="1" applyFill="1" applyBorder="1" applyAlignment="1">
      <alignment horizontal="center"/>
    </xf>
    <xf numFmtId="49" fontId="3" fillId="0" borderId="3" xfId="5" applyNumberFormat="1" applyFont="1" applyFill="1" applyBorder="1" applyAlignment="1">
      <alignment horizontal="center" wrapText="1"/>
    </xf>
    <xf numFmtId="166" fontId="27" fillId="4" borderId="0" xfId="3" applyNumberFormat="1" applyFont="1" applyFill="1"/>
    <xf numFmtId="169" fontId="28" fillId="4" borderId="0" xfId="3" applyNumberFormat="1" applyFont="1" applyFill="1"/>
    <xf numFmtId="2" fontId="15" fillId="0" borderId="0" xfId="3" applyNumberFormat="1" applyFont="1" applyFill="1"/>
    <xf numFmtId="164" fontId="5" fillId="0" borderId="1" xfId="0" applyNumberFormat="1" applyFont="1" applyFill="1" applyBorder="1" applyAlignment="1">
      <alignment horizontal="right"/>
    </xf>
    <xf numFmtId="165" fontId="8" fillId="2" borderId="0" xfId="1" applyNumberFormat="1" applyFont="1" applyFill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horizontal="justify" vertical="top" wrapText="1"/>
    </xf>
    <xf numFmtId="49" fontId="5" fillId="4" borderId="2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164" fontId="5" fillId="4" borderId="1" xfId="7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wrapText="1"/>
    </xf>
    <xf numFmtId="0" fontId="5" fillId="2" borderId="2" xfId="7" applyFont="1" applyFill="1" applyBorder="1" applyAlignment="1">
      <alignment horizontal="center" vertical="top"/>
    </xf>
    <xf numFmtId="164" fontId="5" fillId="2" borderId="5" xfId="7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4" borderId="9" xfId="7" applyNumberFormat="1" applyFont="1" applyFill="1" applyBorder="1" applyAlignment="1">
      <alignment horizontal="center"/>
    </xf>
    <xf numFmtId="49" fontId="5" fillId="4" borderId="3" xfId="7" applyNumberFormat="1" applyFont="1" applyFill="1" applyBorder="1" applyAlignment="1">
      <alignment horizontal="center"/>
    </xf>
    <xf numFmtId="49" fontId="5" fillId="4" borderId="1" xfId="7" applyNumberFormat="1" applyFont="1" applyFill="1" applyBorder="1" applyAlignment="1">
      <alignment horizontal="center"/>
    </xf>
    <xf numFmtId="49" fontId="5" fillId="2" borderId="21" xfId="14" applyNumberFormat="1" applyFont="1" applyFill="1" applyBorder="1" applyAlignment="1">
      <alignment wrapText="1"/>
    </xf>
    <xf numFmtId="49" fontId="5" fillId="2" borderId="24" xfId="14" applyNumberFormat="1" applyFont="1" applyFill="1" applyBorder="1" applyAlignment="1">
      <alignment horizontal="center"/>
    </xf>
    <xf numFmtId="49" fontId="5" fillId="2" borderId="4" xfId="5" applyNumberFormat="1" applyFont="1" applyFill="1" applyBorder="1" applyAlignment="1">
      <alignment horizontal="center"/>
    </xf>
    <xf numFmtId="49" fontId="5" fillId="4" borderId="2" xfId="11" applyNumberFormat="1" applyFont="1" applyFill="1" applyBorder="1" applyAlignment="1">
      <alignment horizontal="center"/>
    </xf>
    <xf numFmtId="49" fontId="5" fillId="4" borderId="9" xfId="5" applyNumberFormat="1" applyFont="1" applyFill="1" applyBorder="1" applyAlignment="1">
      <alignment horizontal="center"/>
    </xf>
    <xf numFmtId="49" fontId="5" fillId="4" borderId="3" xfId="5" applyNumberFormat="1" applyFont="1" applyFill="1" applyBorder="1" applyAlignment="1">
      <alignment wrapText="1"/>
    </xf>
    <xf numFmtId="49" fontId="5" fillId="4" borderId="3" xfId="5" applyNumberFormat="1" applyFont="1" applyFill="1" applyBorder="1" applyAlignment="1">
      <alignment horizontal="center"/>
    </xf>
    <xf numFmtId="49" fontId="5" fillId="4" borderId="1" xfId="5" applyNumberFormat="1" applyFont="1" applyFill="1" applyBorder="1" applyAlignment="1">
      <alignment horizontal="center"/>
    </xf>
    <xf numFmtId="49" fontId="5" fillId="4" borderId="1" xfId="5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center"/>
    </xf>
    <xf numFmtId="49" fontId="3" fillId="0" borderId="3" xfId="5" applyNumberFormat="1" applyFont="1" applyFill="1" applyBorder="1" applyAlignment="1">
      <alignment wrapText="1"/>
    </xf>
    <xf numFmtId="49" fontId="3" fillId="0" borderId="9" xfId="14" applyNumberFormat="1" applyFont="1" applyFill="1" applyBorder="1" applyAlignment="1">
      <alignment horizontal="center"/>
    </xf>
    <xf numFmtId="49" fontId="3" fillId="0" borderId="13" xfId="14" applyNumberFormat="1" applyFont="1" applyFill="1" applyBorder="1" applyAlignment="1">
      <alignment horizontal="center"/>
    </xf>
    <xf numFmtId="164" fontId="3" fillId="0" borderId="1" xfId="14" applyNumberFormat="1" applyFont="1" applyFill="1" applyBorder="1" applyAlignment="1">
      <alignment horizontal="right"/>
    </xf>
    <xf numFmtId="164" fontId="6" fillId="4" borderId="1" xfId="7" applyNumberFormat="1" applyFont="1" applyFill="1" applyBorder="1" applyAlignment="1">
      <alignment horizontal="right"/>
    </xf>
    <xf numFmtId="165" fontId="3" fillId="2" borderId="1" xfId="3" applyNumberFormat="1" applyFont="1" applyFill="1" applyBorder="1" applyAlignment="1">
      <alignment horizontal="center"/>
    </xf>
    <xf numFmtId="164" fontId="5" fillId="2" borderId="3" xfId="7" applyNumberFormat="1" applyFont="1" applyFill="1" applyBorder="1" applyAlignment="1">
      <alignment horizontal="right"/>
    </xf>
    <xf numFmtId="172" fontId="3" fillId="4" borderId="1" xfId="0" applyNumberFormat="1" applyFont="1" applyFill="1" applyBorder="1" applyAlignment="1">
      <alignment horizontal="right"/>
    </xf>
    <xf numFmtId="1" fontId="4" fillId="2" borderId="0" xfId="2" applyNumberFormat="1" applyFont="1" applyFill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164" fontId="35" fillId="2" borderId="1" xfId="0" applyNumberFormat="1" applyFont="1" applyFill="1" applyBorder="1" applyAlignment="1">
      <alignment horizontal="right"/>
    </xf>
    <xf numFmtId="0" fontId="36" fillId="5" borderId="0" xfId="14" applyFont="1" applyFill="1"/>
    <xf numFmtId="49" fontId="3" fillId="4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3" xfId="5" applyNumberFormat="1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wrapText="1"/>
    </xf>
    <xf numFmtId="164" fontId="35" fillId="4" borderId="1" xfId="0" applyNumberFormat="1" applyFont="1" applyFill="1" applyBorder="1" applyAlignment="1">
      <alignment horizontal="right"/>
    </xf>
    <xf numFmtId="49" fontId="3" fillId="4" borderId="1" xfId="11" applyNumberFormat="1" applyFont="1" applyFill="1" applyBorder="1" applyAlignment="1">
      <alignment horizontal="center" wrapText="1"/>
    </xf>
    <xf numFmtId="49" fontId="3" fillId="4" borderId="1" xfId="11" applyNumberFormat="1" applyFont="1" applyFill="1" applyBorder="1" applyAlignment="1">
      <alignment horizontal="center"/>
    </xf>
    <xf numFmtId="49" fontId="3" fillId="4" borderId="2" xfId="6" applyNumberFormat="1" applyFont="1" applyFill="1" applyBorder="1" applyAlignment="1">
      <alignment horizontal="center"/>
    </xf>
    <xf numFmtId="49" fontId="3" fillId="4" borderId="9" xfId="5" applyNumberFormat="1" applyFont="1" applyFill="1" applyBorder="1" applyAlignment="1">
      <alignment horizontal="center"/>
    </xf>
    <xf numFmtId="49" fontId="3" fillId="4" borderId="3" xfId="5" applyNumberFormat="1" applyFont="1" applyFill="1" applyBorder="1" applyAlignment="1">
      <alignment horizontal="center"/>
    </xf>
    <xf numFmtId="49" fontId="3" fillId="4" borderId="1" xfId="5" applyNumberFormat="1" applyFont="1" applyFill="1" applyBorder="1" applyAlignment="1">
      <alignment horizontal="center"/>
    </xf>
    <xf numFmtId="164" fontId="3" fillId="4" borderId="1" xfId="5" applyNumberFormat="1" applyFont="1" applyFill="1" applyBorder="1" applyAlignment="1">
      <alignment horizontal="right"/>
    </xf>
    <xf numFmtId="49" fontId="3" fillId="4" borderId="3" xfId="5" applyNumberFormat="1" applyFont="1" applyFill="1" applyBorder="1" applyAlignment="1">
      <alignment vertical="top" wrapText="1"/>
    </xf>
    <xf numFmtId="49" fontId="3" fillId="4" borderId="3" xfId="5" applyNumberFormat="1" applyFont="1" applyFill="1" applyBorder="1" applyAlignment="1">
      <alignment wrapText="1"/>
    </xf>
    <xf numFmtId="49" fontId="3" fillId="4" borderId="9" xfId="14" applyNumberFormat="1" applyFont="1" applyFill="1" applyBorder="1" applyAlignment="1">
      <alignment horizontal="center"/>
    </xf>
    <xf numFmtId="49" fontId="3" fillId="4" borderId="3" xfId="14" applyNumberFormat="1" applyFont="1" applyFill="1" applyBorder="1" applyAlignment="1">
      <alignment horizontal="center"/>
    </xf>
    <xf numFmtId="49" fontId="3" fillId="4" borderId="1" xfId="14" applyNumberFormat="1" applyFont="1" applyFill="1" applyBorder="1" applyAlignment="1">
      <alignment horizontal="center"/>
    </xf>
    <xf numFmtId="164" fontId="3" fillId="4" borderId="1" xfId="14" applyNumberFormat="1" applyFont="1" applyFill="1" applyBorder="1" applyAlignment="1">
      <alignment horizontal="right"/>
    </xf>
    <xf numFmtId="49" fontId="3" fillId="4" borderId="2" xfId="11" applyNumberFormat="1" applyFont="1" applyFill="1" applyBorder="1" applyAlignment="1">
      <alignment horizontal="center"/>
    </xf>
    <xf numFmtId="49" fontId="3" fillId="4" borderId="3" xfId="5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wrapText="1"/>
    </xf>
    <xf numFmtId="49" fontId="3" fillId="4" borderId="3" xfId="6" applyNumberFormat="1" applyFont="1" applyFill="1" applyBorder="1" applyAlignment="1">
      <alignment horizontal="left" wrapText="1"/>
    </xf>
    <xf numFmtId="49" fontId="3" fillId="4" borderId="1" xfId="6" applyNumberFormat="1" applyFont="1" applyFill="1" applyBorder="1" applyAlignment="1">
      <alignment horizontal="center" wrapText="1"/>
    </xf>
    <xf numFmtId="49" fontId="3" fillId="4" borderId="1" xfId="6" applyNumberFormat="1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vertical="top"/>
    </xf>
    <xf numFmtId="0" fontId="6" fillId="4" borderId="1" xfId="7" applyFont="1" applyFill="1" applyBorder="1" applyAlignment="1">
      <alignment vertical="top" wrapText="1"/>
    </xf>
    <xf numFmtId="165" fontId="6" fillId="4" borderId="1" xfId="1" applyNumberFormat="1" applyFont="1" applyFill="1" applyBorder="1" applyAlignment="1">
      <alignment horizontal="right"/>
    </xf>
    <xf numFmtId="49" fontId="3" fillId="4" borderId="9" xfId="5" applyNumberFormat="1" applyFont="1" applyFill="1" applyBorder="1" applyAlignment="1">
      <alignment wrapText="1"/>
    </xf>
    <xf numFmtId="49" fontId="3" fillId="4" borderId="9" xfId="6" applyNumberFormat="1" applyFont="1" applyFill="1" applyBorder="1" applyAlignment="1">
      <alignment horizontal="center"/>
    </xf>
    <xf numFmtId="49" fontId="3" fillId="4" borderId="1" xfId="5" applyNumberFormat="1" applyFont="1" applyFill="1" applyBorder="1" applyAlignment="1">
      <alignment wrapText="1"/>
    </xf>
    <xf numFmtId="49" fontId="5" fillId="2" borderId="27" xfId="11" applyNumberFormat="1" applyFont="1" applyFill="1" applyBorder="1" applyAlignment="1">
      <alignment horizontal="center"/>
    </xf>
    <xf numFmtId="49" fontId="5" fillId="2" borderId="28" xfId="14" applyNumberFormat="1" applyFont="1" applyFill="1" applyBorder="1" applyAlignment="1">
      <alignment horizontal="center"/>
    </xf>
    <xf numFmtId="0" fontId="3" fillId="5" borderId="1" xfId="14" applyFont="1" applyFill="1" applyBorder="1" applyAlignment="1">
      <alignment horizontal="center" vertical="top"/>
    </xf>
    <xf numFmtId="164" fontId="12" fillId="2" borderId="0" xfId="7" applyNumberFormat="1" applyFont="1" applyFill="1"/>
    <xf numFmtId="164" fontId="8" fillId="4" borderId="1" xfId="1" applyNumberFormat="1" applyFont="1" applyFill="1" applyBorder="1" applyAlignment="1"/>
    <xf numFmtId="0" fontId="8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right"/>
    </xf>
    <xf numFmtId="0" fontId="8" fillId="4" borderId="1" xfId="1" applyFont="1" applyFill="1" applyBorder="1" applyAlignment="1">
      <alignment horizontal="center"/>
    </xf>
    <xf numFmtId="0" fontId="8" fillId="4" borderId="1" xfId="5" applyFont="1" applyFill="1" applyBorder="1" applyAlignment="1">
      <alignment wrapText="1"/>
    </xf>
    <xf numFmtId="0" fontId="5" fillId="4" borderId="12" xfId="3" applyFont="1" applyFill="1" applyBorder="1" applyAlignment="1">
      <alignment horizontal="center" vertical="top"/>
    </xf>
    <xf numFmtId="0" fontId="5" fillId="4" borderId="12" xfId="3" applyFont="1" applyFill="1" applyBorder="1" applyAlignment="1">
      <alignment vertical="top" wrapText="1"/>
    </xf>
    <xf numFmtId="173" fontId="5" fillId="4" borderId="12" xfId="13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/>
    </xf>
    <xf numFmtId="49" fontId="5" fillId="4" borderId="2" xfId="6" applyNumberFormat="1" applyFont="1" applyFill="1" applyBorder="1" applyAlignment="1">
      <alignment horizontal="center"/>
    </xf>
    <xf numFmtId="49" fontId="5" fillId="4" borderId="9" xfId="14" applyNumberFormat="1" applyFont="1" applyFill="1" applyBorder="1" applyAlignment="1">
      <alignment horizontal="center"/>
    </xf>
    <xf numFmtId="49" fontId="5" fillId="4" borderId="3" xfId="14" applyNumberFormat="1" applyFont="1" applyFill="1" applyBorder="1" applyAlignment="1">
      <alignment horizontal="center"/>
    </xf>
    <xf numFmtId="49" fontId="5" fillId="4" borderId="1" xfId="14" applyNumberFormat="1" applyFont="1" applyFill="1" applyBorder="1" applyAlignment="1">
      <alignment horizontal="center"/>
    </xf>
    <xf numFmtId="49" fontId="3" fillId="4" borderId="13" xfId="14" applyNumberFormat="1" applyFont="1" applyFill="1" applyBorder="1" applyAlignment="1">
      <alignment horizontal="center"/>
    </xf>
    <xf numFmtId="164" fontId="25" fillId="2" borderId="0" xfId="0" applyNumberFormat="1" applyFont="1" applyFill="1"/>
    <xf numFmtId="164" fontId="4" fillId="2" borderId="0" xfId="2" applyNumberFormat="1" applyFont="1" applyFill="1" applyAlignment="1">
      <alignment horizontal="center" wrapText="1"/>
    </xf>
    <xf numFmtId="164" fontId="10" fillId="2" borderId="0" xfId="0" applyNumberFormat="1" applyFont="1" applyFill="1"/>
    <xf numFmtId="164" fontId="3" fillId="2" borderId="13" xfId="0" applyNumberFormat="1" applyFont="1" applyFill="1" applyBorder="1" applyAlignment="1">
      <alignment horizontal="center" vertical="center"/>
    </xf>
    <xf numFmtId="0" fontId="15" fillId="4" borderId="0" xfId="3" applyFont="1" applyFill="1"/>
    <xf numFmtId="0" fontId="12" fillId="4" borderId="0" xfId="0" applyFont="1" applyFill="1"/>
    <xf numFmtId="0" fontId="10" fillId="4" borderId="0" xfId="3" applyFont="1" applyFill="1"/>
    <xf numFmtId="0" fontId="3" fillId="2" borderId="0" xfId="3" applyFont="1" applyFill="1" applyAlignment="1">
      <alignment wrapText="1"/>
    </xf>
    <xf numFmtId="0" fontId="10" fillId="2" borderId="0" xfId="3" applyFont="1" applyFill="1"/>
    <xf numFmtId="0" fontId="10" fillId="2" borderId="0" xfId="3" applyFont="1" applyFill="1" applyAlignment="1">
      <alignment wrapText="1"/>
    </xf>
    <xf numFmtId="166" fontId="10" fillId="2" borderId="0" xfId="3" applyNumberFormat="1" applyFont="1" applyFill="1" applyAlignment="1">
      <alignment horizontal="right"/>
    </xf>
    <xf numFmtId="0" fontId="3" fillId="2" borderId="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justify" vertical="top" wrapText="1"/>
    </xf>
    <xf numFmtId="0" fontId="3" fillId="2" borderId="8" xfId="3" applyFont="1" applyFill="1" applyBorder="1" applyAlignment="1">
      <alignment horizontal="justify" vertical="top" wrapText="1"/>
    </xf>
    <xf numFmtId="165" fontId="3" fillId="2" borderId="5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3" fillId="2" borderId="15" xfId="3" applyFont="1" applyFill="1" applyBorder="1" applyAlignment="1">
      <alignment horizontal="left" wrapText="1"/>
    </xf>
    <xf numFmtId="0" fontId="3" fillId="2" borderId="11" xfId="3" applyFont="1" applyFill="1" applyBorder="1" applyAlignment="1">
      <alignment horizontal="left" wrapText="1"/>
    </xf>
    <xf numFmtId="165" fontId="3" fillId="2" borderId="12" xfId="3" applyNumberFormat="1" applyFont="1" applyFill="1" applyBorder="1" applyAlignment="1">
      <alignment horizontal="center"/>
    </xf>
    <xf numFmtId="0" fontId="3" fillId="2" borderId="14" xfId="3" applyFont="1" applyFill="1" applyBorder="1" applyAlignment="1">
      <alignment horizontal="left" wrapText="1"/>
    </xf>
    <xf numFmtId="0" fontId="3" fillId="2" borderId="10" xfId="3" applyFont="1" applyFill="1" applyBorder="1" applyAlignment="1">
      <alignment horizontal="left" wrapText="1"/>
    </xf>
    <xf numFmtId="165" fontId="3" fillId="2" borderId="13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justify" vertical="top" wrapText="1"/>
    </xf>
    <xf numFmtId="1" fontId="3" fillId="2" borderId="5" xfId="3" applyNumberFormat="1" applyFont="1" applyFill="1" applyBorder="1" applyAlignment="1">
      <alignment horizontal="center"/>
    </xf>
    <xf numFmtId="0" fontId="3" fillId="2" borderId="12" xfId="3" applyFont="1" applyFill="1" applyBorder="1" applyAlignment="1">
      <alignment horizontal="left" wrapText="1"/>
    </xf>
    <xf numFmtId="1" fontId="3" fillId="2" borderId="12" xfId="3" applyNumberFormat="1" applyFont="1" applyFill="1" applyBorder="1" applyAlignment="1">
      <alignment horizontal="center"/>
    </xf>
    <xf numFmtId="0" fontId="3" fillId="2" borderId="13" xfId="3" applyFont="1" applyFill="1" applyBorder="1" applyAlignment="1">
      <alignment horizontal="left" wrapText="1"/>
    </xf>
    <xf numFmtId="1" fontId="3" fillId="2" borderId="13" xfId="3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vertical="justify"/>
    </xf>
    <xf numFmtId="0" fontId="3" fillId="2" borderId="0" xfId="3" applyFont="1" applyFill="1" applyBorder="1" applyAlignment="1">
      <alignment horizontal="left" wrapText="1"/>
    </xf>
    <xf numFmtId="0" fontId="3" fillId="2" borderId="0" xfId="3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wrapText="1"/>
    </xf>
    <xf numFmtId="49" fontId="3" fillId="7" borderId="1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/>
    </xf>
    <xf numFmtId="49" fontId="3" fillId="7" borderId="9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8" borderId="3" xfId="5" applyNumberFormat="1" applyFont="1" applyFill="1" applyBorder="1" applyAlignment="1">
      <alignment horizontal="left" wrapText="1"/>
    </xf>
    <xf numFmtId="49" fontId="3" fillId="8" borderId="1" xfId="0" applyNumberFormat="1" applyFont="1" applyFill="1" applyBorder="1" applyAlignment="1">
      <alignment horizontal="center" wrapText="1"/>
    </xf>
    <xf numFmtId="49" fontId="3" fillId="8" borderId="1" xfId="0" applyNumberFormat="1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center"/>
    </xf>
    <xf numFmtId="49" fontId="3" fillId="8" borderId="9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right"/>
    </xf>
    <xf numFmtId="49" fontId="5" fillId="8" borderId="1" xfId="4" applyNumberFormat="1" applyFont="1" applyFill="1" applyBorder="1" applyAlignment="1" applyProtection="1">
      <alignment horizontal="left" wrapText="1"/>
      <protection hidden="1"/>
    </xf>
    <xf numFmtId="49" fontId="5" fillId="8" borderId="2" xfId="0" applyNumberFormat="1" applyFont="1" applyFill="1" applyBorder="1" applyAlignment="1">
      <alignment horizontal="center"/>
    </xf>
    <xf numFmtId="49" fontId="5" fillId="8" borderId="9" xfId="0" applyNumberFormat="1" applyFont="1" applyFill="1" applyBorder="1" applyAlignment="1">
      <alignment horizontal="center"/>
    </xf>
    <xf numFmtId="49" fontId="5" fillId="8" borderId="3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164" fontId="5" fillId="8" borderId="1" xfId="7" applyNumberFormat="1" applyFont="1" applyFill="1" applyBorder="1" applyAlignment="1">
      <alignment horizontal="right"/>
    </xf>
    <xf numFmtId="49" fontId="5" fillId="8" borderId="1" xfId="5" applyNumberFormat="1" applyFont="1" applyFill="1" applyBorder="1" applyAlignment="1">
      <alignment horizontal="left" wrapText="1"/>
    </xf>
    <xf numFmtId="49" fontId="5" fillId="8" borderId="3" xfId="0" applyNumberFormat="1" applyFont="1" applyFill="1" applyBorder="1" applyAlignment="1">
      <alignment wrapText="1"/>
    </xf>
    <xf numFmtId="49" fontId="3" fillId="8" borderId="3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justify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justify" wrapText="1"/>
    </xf>
    <xf numFmtId="168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/>
    </xf>
    <xf numFmtId="0" fontId="9" fillId="2" borderId="0" xfId="7" applyFont="1" applyFill="1" applyAlignment="1">
      <alignment horizontal="center"/>
    </xf>
    <xf numFmtId="0" fontId="5" fillId="2" borderId="0" xfId="3" applyFont="1" applyFill="1" applyAlignment="1">
      <alignment horizontal="right" wrapText="1"/>
    </xf>
    <xf numFmtId="0" fontId="4" fillId="0" borderId="0" xfId="3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" fontId="6" fillId="2" borderId="0" xfId="2" applyNumberFormat="1" applyFont="1" applyFill="1" applyAlignment="1">
      <alignment horizontal="center" wrapText="1"/>
    </xf>
    <xf numFmtId="49" fontId="5" fillId="2" borderId="6" xfId="7" applyNumberFormat="1" applyFont="1" applyFill="1" applyBorder="1" applyAlignment="1">
      <alignment horizontal="center" vertical="center"/>
    </xf>
    <xf numFmtId="49" fontId="5" fillId="2" borderId="7" xfId="7" applyNumberFormat="1" applyFont="1" applyFill="1" applyBorder="1" applyAlignment="1">
      <alignment horizontal="center" vertical="center"/>
    </xf>
    <xf numFmtId="49" fontId="5" fillId="2" borderId="8" xfId="7" applyNumberFormat="1" applyFont="1" applyFill="1" applyBorder="1" applyAlignment="1">
      <alignment horizontal="center" vertical="center"/>
    </xf>
    <xf numFmtId="49" fontId="5" fillId="2" borderId="2" xfId="7" applyNumberFormat="1" applyFont="1" applyFill="1" applyBorder="1" applyAlignment="1">
      <alignment horizontal="center"/>
    </xf>
    <xf numFmtId="49" fontId="5" fillId="2" borderId="9" xfId="7" applyNumberFormat="1" applyFont="1" applyFill="1" applyBorder="1" applyAlignment="1">
      <alignment horizontal="center"/>
    </xf>
    <xf numFmtId="49" fontId="5" fillId="2" borderId="3" xfId="7" applyNumberFormat="1" applyFont="1" applyFill="1" applyBorder="1" applyAlignment="1">
      <alignment horizontal="center"/>
    </xf>
    <xf numFmtId="166" fontId="5" fillId="2" borderId="1" xfId="7" applyNumberFormat="1" applyFont="1" applyFill="1" applyBorder="1" applyAlignment="1">
      <alignment horizontal="center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wrapText="1"/>
    </xf>
    <xf numFmtId="0" fontId="21" fillId="0" borderId="0" xfId="7" applyFont="1" applyFill="1" applyAlignment="1">
      <alignment horizontal="center" wrapText="1"/>
    </xf>
    <xf numFmtId="166" fontId="5" fillId="0" borderId="2" xfId="7" applyNumberFormat="1" applyFont="1" applyFill="1" applyBorder="1" applyAlignment="1">
      <alignment horizontal="center"/>
    </xf>
    <xf numFmtId="166" fontId="5" fillId="0" borderId="3" xfId="7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6" fontId="5" fillId="0" borderId="1" xfId="7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 wrapText="1"/>
    </xf>
    <xf numFmtId="0" fontId="3" fillId="0" borderId="2" xfId="7" applyFont="1" applyFill="1" applyBorder="1" applyAlignment="1">
      <alignment horizontal="center" vertical="center"/>
    </xf>
    <xf numFmtId="0" fontId="21" fillId="0" borderId="9" xfId="7" applyFont="1" applyFill="1" applyBorder="1" applyAlignment="1">
      <alignment horizontal="center"/>
    </xf>
    <xf numFmtId="0" fontId="21" fillId="0" borderId="3" xfId="7" applyFont="1" applyFill="1" applyBorder="1" applyAlignment="1">
      <alignment horizontal="center"/>
    </xf>
    <xf numFmtId="0" fontId="4" fillId="0" borderId="2" xfId="7" applyFont="1" applyFill="1" applyBorder="1" applyAlignment="1"/>
    <xf numFmtId="0" fontId="21" fillId="0" borderId="9" xfId="7" applyFont="1" applyFill="1" applyBorder="1" applyAlignment="1"/>
    <xf numFmtId="0" fontId="21" fillId="0" borderId="3" xfId="7" applyFont="1" applyFill="1" applyBorder="1" applyAlignment="1"/>
    <xf numFmtId="0" fontId="3" fillId="0" borderId="9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vertical="justify"/>
    </xf>
    <xf numFmtId="0" fontId="20" fillId="2" borderId="0" xfId="0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0" fontId="20" fillId="2" borderId="0" xfId="0" applyFont="1" applyFill="1" applyAlignment="1">
      <alignment wrapText="1"/>
    </xf>
    <xf numFmtId="0" fontId="3" fillId="2" borderId="0" xfId="3" applyFont="1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3" fillId="2" borderId="2" xfId="3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 vertical="justify" wrapText="1"/>
    </xf>
    <xf numFmtId="0" fontId="3" fillId="2" borderId="0" xfId="3" applyFont="1" applyFill="1" applyAlignment="1">
      <alignment wrapText="1"/>
    </xf>
    <xf numFmtId="0" fontId="21" fillId="2" borderId="0" xfId="0" applyFont="1" applyFill="1" applyAlignment="1">
      <alignment wrapText="1"/>
    </xf>
    <xf numFmtId="0" fontId="3" fillId="2" borderId="1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6" fillId="0" borderId="9" xfId="0" applyFont="1" applyBorder="1" applyAlignment="1"/>
    <xf numFmtId="0" fontId="26" fillId="0" borderId="3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/>
    <xf numFmtId="0" fontId="5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3" applyFont="1" applyAlignment="1">
      <alignment horizontal="center" wrapText="1"/>
    </xf>
    <xf numFmtId="0" fontId="4" fillId="0" borderId="2" xfId="3" applyFont="1" applyBorder="1" applyAlignment="1"/>
    <xf numFmtId="0" fontId="32" fillId="0" borderId="3" xfId="8" applyFont="1" applyBorder="1" applyAlignment="1"/>
    <xf numFmtId="0" fontId="3" fillId="0" borderId="0" xfId="8" applyFont="1" applyFill="1" applyBorder="1" applyAlignment="1"/>
    <xf numFmtId="0" fontId="7" fillId="0" borderId="0" xfId="8" applyAlignment="1"/>
    <xf numFmtId="0" fontId="3" fillId="0" borderId="0" xfId="8" applyFont="1" applyFill="1" applyAlignment="1"/>
  </cellXfs>
  <cellStyles count="20">
    <cellStyle name="Excel Built-in Normal" xfId="5"/>
    <cellStyle name="Excel Built-in Normal 1" xfId="11"/>
    <cellStyle name="Excel Built-in Normal 2" xfId="14"/>
    <cellStyle name="Обычный" xfId="0" builtinId="0"/>
    <cellStyle name="Обычный 2" xfId="7"/>
    <cellStyle name="Обычный 2 2" xfId="8"/>
    <cellStyle name="Обычный 2 2 2" xfId="4"/>
    <cellStyle name="Обычный 2 3" xfId="19"/>
    <cellStyle name="Обычный 3" xfId="16"/>
    <cellStyle name="Обычный 4" xfId="17"/>
    <cellStyle name="Обычный 5" xfId="18"/>
    <cellStyle name="Обычный_tmp1" xfId="15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CCFFCC"/>
      <color rgb="FFFFFFCC"/>
      <color rgb="FF33CCFF"/>
      <color rgb="FFFFCCFF"/>
      <color rgb="FFFFFF99"/>
      <color rgb="FFFF99CC"/>
      <color rgb="FF66FFFF"/>
      <color rgb="FF99CCFF"/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1" tint="0.499984740745262"/>
  </sheetPr>
  <dimension ref="A1:H169"/>
  <sheetViews>
    <sheetView zoomScale="90" zoomScaleNormal="90" workbookViewId="0">
      <selection activeCell="J7" sqref="J7"/>
    </sheetView>
  </sheetViews>
  <sheetFormatPr defaultColWidth="8.85546875" defaultRowHeight="15"/>
  <cols>
    <col min="1" max="1" width="19.140625" style="236" customWidth="1"/>
    <col min="2" max="2" width="28" style="236" customWidth="1"/>
    <col min="3" max="3" width="64.42578125" style="236" customWidth="1"/>
    <col min="4" max="16384" width="8.85546875" style="236"/>
  </cols>
  <sheetData>
    <row r="1" spans="1:6" ht="18.75">
      <c r="C1" s="244" t="s">
        <v>496</v>
      </c>
    </row>
    <row r="2" spans="1:6" ht="18.75">
      <c r="C2" s="244" t="s">
        <v>902</v>
      </c>
    </row>
    <row r="3" spans="1:6" ht="18.75">
      <c r="C3" s="244"/>
    </row>
    <row r="4" spans="1:6" ht="18.75">
      <c r="C4" s="244" t="s">
        <v>496</v>
      </c>
    </row>
    <row r="5" spans="1:6" ht="18.75">
      <c r="C5" s="244" t="s">
        <v>817</v>
      </c>
    </row>
    <row r="6" spans="1:6" ht="18.75">
      <c r="C6" s="244"/>
    </row>
    <row r="7" spans="1:6" ht="56.45" customHeight="1">
      <c r="A7" s="898" t="s">
        <v>440</v>
      </c>
      <c r="B7" s="898"/>
      <c r="C7" s="898"/>
    </row>
    <row r="9" spans="1:6" ht="15" hidden="1" customHeight="1">
      <c r="A9" s="899"/>
      <c r="B9" s="899"/>
    </row>
    <row r="10" spans="1:6" ht="34.9" customHeight="1">
      <c r="A10" s="902" t="s">
        <v>1</v>
      </c>
      <c r="B10" s="903"/>
      <c r="C10" s="900" t="s">
        <v>439</v>
      </c>
    </row>
    <row r="11" spans="1:6" ht="149.25" customHeight="1">
      <c r="A11" s="245" t="s">
        <v>2</v>
      </c>
      <c r="B11" s="245" t="s">
        <v>3</v>
      </c>
      <c r="C11" s="901"/>
    </row>
    <row r="12" spans="1:6" ht="18.75">
      <c r="A12" s="246">
        <v>1</v>
      </c>
      <c r="B12" s="246">
        <v>2</v>
      </c>
      <c r="C12" s="246">
        <v>3</v>
      </c>
    </row>
    <row r="13" spans="1:6" ht="56.25">
      <c r="A13" s="247">
        <v>804</v>
      </c>
      <c r="B13" s="246"/>
      <c r="C13" s="247" t="s">
        <v>773</v>
      </c>
    </row>
    <row r="14" spans="1:6" ht="56.25">
      <c r="A14" s="246">
        <v>804</v>
      </c>
      <c r="B14" s="246" t="s">
        <v>10</v>
      </c>
      <c r="C14" s="248" t="s">
        <v>774</v>
      </c>
    </row>
    <row r="15" spans="1:6" ht="18.75">
      <c r="A15" s="247">
        <v>816</v>
      </c>
      <c r="B15" s="247"/>
      <c r="C15" s="247" t="s">
        <v>775</v>
      </c>
      <c r="D15" s="235"/>
      <c r="E15" s="235"/>
      <c r="F15" s="235"/>
    </row>
    <row r="16" spans="1:6" ht="97.9" customHeight="1">
      <c r="A16" s="246">
        <v>816</v>
      </c>
      <c r="B16" s="246" t="s">
        <v>776</v>
      </c>
      <c r="C16" s="248" t="s">
        <v>777</v>
      </c>
      <c r="D16" s="235"/>
      <c r="E16" s="235"/>
      <c r="F16" s="235"/>
    </row>
    <row r="17" spans="1:6" ht="56.25">
      <c r="A17" s="247">
        <v>819</v>
      </c>
      <c r="B17" s="246"/>
      <c r="C17" s="247" t="s">
        <v>778</v>
      </c>
      <c r="D17" s="235"/>
      <c r="E17" s="235"/>
      <c r="F17" s="235"/>
    </row>
    <row r="18" spans="1:6" ht="56.25">
      <c r="A18" s="246">
        <v>819</v>
      </c>
      <c r="B18" s="246" t="s">
        <v>10</v>
      </c>
      <c r="C18" s="248" t="s">
        <v>774</v>
      </c>
      <c r="D18" s="235"/>
      <c r="E18" s="235"/>
      <c r="F18" s="235"/>
    </row>
    <row r="19" spans="1:6" ht="37.5">
      <c r="A19" s="247">
        <v>821</v>
      </c>
      <c r="B19" s="246"/>
      <c r="C19" s="247" t="s">
        <v>780</v>
      </c>
      <c r="D19" s="235"/>
      <c r="E19" s="235"/>
      <c r="F19" s="235"/>
    </row>
    <row r="20" spans="1:6" ht="75">
      <c r="A20" s="246">
        <v>821</v>
      </c>
      <c r="B20" s="246" t="s">
        <v>781</v>
      </c>
      <c r="C20" s="248" t="s">
        <v>782</v>
      </c>
      <c r="D20" s="235"/>
      <c r="E20" s="235"/>
      <c r="F20" s="235"/>
    </row>
    <row r="21" spans="1:6" ht="37.5">
      <c r="A21" s="247">
        <v>828</v>
      </c>
      <c r="B21" s="246"/>
      <c r="C21" s="247" t="s">
        <v>783</v>
      </c>
      <c r="D21" s="235"/>
      <c r="E21" s="235"/>
      <c r="F21" s="235"/>
    </row>
    <row r="22" spans="1:6" ht="56.25">
      <c r="A22" s="246">
        <v>828</v>
      </c>
      <c r="B22" s="246" t="s">
        <v>10</v>
      </c>
      <c r="C22" s="248" t="s">
        <v>779</v>
      </c>
      <c r="D22" s="235"/>
      <c r="E22" s="235"/>
      <c r="F22" s="235"/>
    </row>
    <row r="23" spans="1:6" ht="37.5">
      <c r="A23" s="249">
        <v>830</v>
      </c>
      <c r="B23" s="246"/>
      <c r="C23" s="247" t="s">
        <v>784</v>
      </c>
      <c r="D23" s="235"/>
      <c r="E23" s="235"/>
      <c r="F23" s="235"/>
    </row>
    <row r="24" spans="1:6" ht="56.25">
      <c r="A24" s="246">
        <v>830</v>
      </c>
      <c r="B24" s="246" t="s">
        <v>10</v>
      </c>
      <c r="C24" s="248" t="s">
        <v>774</v>
      </c>
      <c r="D24" s="235"/>
      <c r="E24" s="235"/>
      <c r="F24" s="235"/>
    </row>
    <row r="25" spans="1:6" ht="18.75">
      <c r="A25" s="249">
        <v>833</v>
      </c>
      <c r="B25" s="246"/>
      <c r="C25" s="247" t="s">
        <v>785</v>
      </c>
      <c r="D25" s="235"/>
      <c r="E25" s="235"/>
      <c r="F25" s="235"/>
    </row>
    <row r="26" spans="1:6" ht="56.25">
      <c r="A26" s="246">
        <v>833</v>
      </c>
      <c r="B26" s="246" t="s">
        <v>10</v>
      </c>
      <c r="C26" s="248" t="s">
        <v>774</v>
      </c>
      <c r="D26" s="235"/>
      <c r="E26" s="235"/>
      <c r="F26" s="235"/>
    </row>
    <row r="27" spans="1:6" ht="37.5">
      <c r="A27" s="247">
        <v>835</v>
      </c>
      <c r="B27" s="246"/>
      <c r="C27" s="247" t="s">
        <v>786</v>
      </c>
      <c r="D27" s="235"/>
      <c r="E27" s="235"/>
      <c r="F27" s="235"/>
    </row>
    <row r="28" spans="1:6" ht="56.25">
      <c r="A28" s="246">
        <v>835</v>
      </c>
      <c r="B28" s="246" t="s">
        <v>10</v>
      </c>
      <c r="C28" s="248" t="s">
        <v>774</v>
      </c>
      <c r="D28" s="235"/>
      <c r="E28" s="235"/>
      <c r="F28" s="235"/>
    </row>
    <row r="29" spans="1:6" ht="37.5">
      <c r="A29" s="247">
        <v>840</v>
      </c>
      <c r="B29" s="246"/>
      <c r="C29" s="247" t="s">
        <v>787</v>
      </c>
      <c r="D29" s="235"/>
      <c r="E29" s="235"/>
      <c r="F29" s="235"/>
    </row>
    <row r="30" spans="1:6" ht="56.25">
      <c r="A30" s="246">
        <v>840</v>
      </c>
      <c r="B30" s="246" t="s">
        <v>10</v>
      </c>
      <c r="C30" s="248" t="s">
        <v>774</v>
      </c>
      <c r="D30" s="235"/>
      <c r="E30" s="235"/>
      <c r="F30" s="235"/>
    </row>
    <row r="31" spans="1:6" ht="37.5">
      <c r="A31" s="247">
        <v>854</v>
      </c>
      <c r="B31" s="246"/>
      <c r="C31" s="250" t="s">
        <v>788</v>
      </c>
      <c r="D31" s="235"/>
      <c r="E31" s="235"/>
      <c r="F31" s="235"/>
    </row>
    <row r="32" spans="1:6" ht="37.5">
      <c r="A32" s="246">
        <v>854</v>
      </c>
      <c r="B32" s="246" t="s">
        <v>789</v>
      </c>
      <c r="C32" s="248" t="s">
        <v>790</v>
      </c>
      <c r="D32" s="235"/>
      <c r="E32" s="235"/>
      <c r="F32" s="235"/>
    </row>
    <row r="33" spans="1:6" ht="56.25">
      <c r="A33" s="246">
        <v>854</v>
      </c>
      <c r="B33" s="246" t="s">
        <v>791</v>
      </c>
      <c r="C33" s="248" t="s">
        <v>792</v>
      </c>
      <c r="D33" s="235"/>
      <c r="E33" s="235"/>
      <c r="F33" s="235"/>
    </row>
    <row r="34" spans="1:6" ht="56.25">
      <c r="A34" s="246">
        <v>854</v>
      </c>
      <c r="B34" s="246" t="s">
        <v>793</v>
      </c>
      <c r="C34" s="248" t="s">
        <v>794</v>
      </c>
      <c r="D34" s="235"/>
      <c r="E34" s="235"/>
      <c r="F34" s="235"/>
    </row>
    <row r="35" spans="1:6" ht="37.5">
      <c r="A35" s="246">
        <v>854</v>
      </c>
      <c r="B35" s="246" t="s">
        <v>795</v>
      </c>
      <c r="C35" s="248" t="s">
        <v>796</v>
      </c>
      <c r="D35" s="235"/>
      <c r="E35" s="235"/>
      <c r="F35" s="235"/>
    </row>
    <row r="36" spans="1:6" ht="56.25">
      <c r="A36" s="246">
        <v>854</v>
      </c>
      <c r="B36" s="246" t="s">
        <v>797</v>
      </c>
      <c r="C36" s="248" t="s">
        <v>798</v>
      </c>
      <c r="D36" s="235"/>
      <c r="E36" s="235"/>
      <c r="F36" s="235"/>
    </row>
    <row r="37" spans="1:6" ht="75">
      <c r="A37" s="246">
        <v>854</v>
      </c>
      <c r="B37" s="246" t="s">
        <v>799</v>
      </c>
      <c r="C37" s="248" t="s">
        <v>800</v>
      </c>
      <c r="D37" s="235"/>
      <c r="E37" s="235"/>
      <c r="F37" s="235"/>
    </row>
    <row r="38" spans="1:6" ht="56.25">
      <c r="A38" s="246">
        <v>854</v>
      </c>
      <c r="B38" s="246" t="s">
        <v>801</v>
      </c>
      <c r="C38" s="248" t="s">
        <v>802</v>
      </c>
      <c r="D38" s="235"/>
      <c r="E38" s="235"/>
      <c r="F38" s="235"/>
    </row>
    <row r="39" spans="1:6" ht="112.5">
      <c r="A39" s="246">
        <v>854</v>
      </c>
      <c r="B39" s="246" t="s">
        <v>803</v>
      </c>
      <c r="C39" s="248" t="s">
        <v>804</v>
      </c>
      <c r="D39" s="235"/>
      <c r="E39" s="235"/>
      <c r="F39" s="235"/>
    </row>
    <row r="40" spans="1:6" ht="56.25">
      <c r="A40" s="246">
        <v>854</v>
      </c>
      <c r="B40" s="246" t="s">
        <v>10</v>
      </c>
      <c r="C40" s="248" t="s">
        <v>433</v>
      </c>
      <c r="D40" s="235"/>
      <c r="E40" s="235"/>
      <c r="F40" s="235"/>
    </row>
    <row r="41" spans="1:6" ht="37.5">
      <c r="A41" s="251">
        <v>902</v>
      </c>
      <c r="B41" s="252"/>
      <c r="C41" s="253" t="s">
        <v>4</v>
      </c>
    </row>
    <row r="42" spans="1:6" s="234" customFormat="1" ht="37.5">
      <c r="A42" s="252">
        <v>902</v>
      </c>
      <c r="B42" s="252" t="s">
        <v>5</v>
      </c>
      <c r="C42" s="254" t="s">
        <v>432</v>
      </c>
      <c r="D42" s="233"/>
      <c r="E42" s="233"/>
      <c r="F42" s="233"/>
    </row>
    <row r="43" spans="1:6" s="234" customFormat="1" ht="56.25">
      <c r="A43" s="252">
        <v>902</v>
      </c>
      <c r="B43" s="252" t="s">
        <v>549</v>
      </c>
      <c r="C43" s="254" t="s">
        <v>550</v>
      </c>
      <c r="D43" s="233"/>
      <c r="E43" s="233"/>
      <c r="F43" s="233"/>
    </row>
    <row r="44" spans="1:6" s="234" customFormat="1" ht="56.25">
      <c r="A44" s="252">
        <v>902</v>
      </c>
      <c r="B44" s="252" t="s">
        <v>62</v>
      </c>
      <c r="C44" s="254" t="s">
        <v>63</v>
      </c>
      <c r="D44" s="233"/>
      <c r="E44" s="233"/>
      <c r="F44" s="233"/>
    </row>
    <row r="45" spans="1:6" s="234" customFormat="1" ht="37.5">
      <c r="A45" s="252">
        <v>902</v>
      </c>
      <c r="B45" s="252" t="s">
        <v>6</v>
      </c>
      <c r="C45" s="254" t="s">
        <v>7</v>
      </c>
      <c r="D45" s="233"/>
      <c r="E45" s="233"/>
      <c r="F45" s="233"/>
    </row>
    <row r="46" spans="1:6" s="234" customFormat="1" ht="93.75">
      <c r="A46" s="245">
        <v>902</v>
      </c>
      <c r="B46" s="245" t="s">
        <v>8</v>
      </c>
      <c r="C46" s="254" t="s">
        <v>9</v>
      </c>
      <c r="D46" s="233"/>
      <c r="E46" s="233"/>
      <c r="F46" s="233"/>
    </row>
    <row r="47" spans="1:6" s="234" customFormat="1" ht="76.5" customHeight="1">
      <c r="A47" s="245">
        <v>902</v>
      </c>
      <c r="B47" s="245" t="s">
        <v>551</v>
      </c>
      <c r="C47" s="254" t="s">
        <v>552</v>
      </c>
      <c r="D47" s="233"/>
      <c r="E47" s="233"/>
      <c r="F47" s="233"/>
    </row>
    <row r="48" spans="1:6" s="234" customFormat="1" ht="56.25">
      <c r="A48" s="245">
        <v>902</v>
      </c>
      <c r="B48" s="245" t="s">
        <v>10</v>
      </c>
      <c r="C48" s="254" t="s">
        <v>433</v>
      </c>
      <c r="D48" s="233"/>
      <c r="E48" s="233"/>
      <c r="F48" s="233"/>
    </row>
    <row r="49" spans="1:6" s="234" customFormat="1" ht="37.5">
      <c r="A49" s="245">
        <v>902</v>
      </c>
      <c r="B49" s="245" t="s">
        <v>11</v>
      </c>
      <c r="C49" s="254" t="s">
        <v>12</v>
      </c>
      <c r="D49" s="233"/>
      <c r="E49" s="233"/>
      <c r="F49" s="233"/>
    </row>
    <row r="50" spans="1:6" s="234" customFormat="1" ht="37.5">
      <c r="A50" s="255" t="s">
        <v>13</v>
      </c>
      <c r="B50" s="252" t="s">
        <v>14</v>
      </c>
      <c r="C50" s="256" t="s">
        <v>15</v>
      </c>
      <c r="D50" s="233"/>
      <c r="E50" s="233"/>
      <c r="F50" s="233"/>
    </row>
    <row r="51" spans="1:6" ht="37.5">
      <c r="A51" s="245">
        <v>902</v>
      </c>
      <c r="B51" s="257" t="s">
        <v>701</v>
      </c>
      <c r="C51" s="254" t="s">
        <v>16</v>
      </c>
    </row>
    <row r="52" spans="1:6" ht="56.25">
      <c r="A52" s="245">
        <v>902</v>
      </c>
      <c r="B52" s="252" t="s">
        <v>702</v>
      </c>
      <c r="C52" s="254" t="s">
        <v>17</v>
      </c>
    </row>
    <row r="53" spans="1:6" ht="93.75">
      <c r="A53" s="245">
        <v>902</v>
      </c>
      <c r="B53" s="252" t="s">
        <v>703</v>
      </c>
      <c r="C53" s="258" t="s">
        <v>566</v>
      </c>
    </row>
    <row r="54" spans="1:6" s="234" customFormat="1" ht="112.5">
      <c r="A54" s="252">
        <v>902</v>
      </c>
      <c r="B54" s="252" t="s">
        <v>738</v>
      </c>
      <c r="C54" s="256" t="s">
        <v>18</v>
      </c>
      <c r="D54" s="233"/>
      <c r="E54" s="233"/>
      <c r="F54" s="233"/>
    </row>
    <row r="55" spans="1:6" s="234" customFormat="1" ht="57.75" customHeight="1">
      <c r="A55" s="252">
        <v>902</v>
      </c>
      <c r="B55" s="252" t="s">
        <v>739</v>
      </c>
      <c r="C55" s="256" t="s">
        <v>19</v>
      </c>
      <c r="D55" s="233"/>
      <c r="E55" s="233"/>
      <c r="F55" s="233"/>
    </row>
    <row r="56" spans="1:6" s="234" customFormat="1" ht="37.5">
      <c r="A56" s="252">
        <v>902</v>
      </c>
      <c r="B56" s="252" t="s">
        <v>740</v>
      </c>
      <c r="C56" s="256" t="s">
        <v>20</v>
      </c>
      <c r="D56" s="233"/>
      <c r="E56" s="233"/>
      <c r="F56" s="233"/>
    </row>
    <row r="57" spans="1:6" ht="93.75">
      <c r="A57" s="245">
        <v>902</v>
      </c>
      <c r="B57" s="252" t="s">
        <v>727</v>
      </c>
      <c r="C57" s="254" t="s">
        <v>567</v>
      </c>
    </row>
    <row r="58" spans="1:6" ht="75">
      <c r="A58" s="245">
        <v>902</v>
      </c>
      <c r="B58" s="252" t="s">
        <v>729</v>
      </c>
      <c r="C58" s="254" t="s">
        <v>568</v>
      </c>
    </row>
    <row r="59" spans="1:6" s="234" customFormat="1" ht="56.25">
      <c r="A59" s="252">
        <v>902</v>
      </c>
      <c r="B59" s="252" t="s">
        <v>434</v>
      </c>
      <c r="C59" s="254" t="s">
        <v>21</v>
      </c>
      <c r="D59" s="233"/>
      <c r="E59" s="233"/>
      <c r="F59" s="233"/>
    </row>
    <row r="60" spans="1:6" s="234" customFormat="1" ht="56.25">
      <c r="A60" s="252">
        <v>902</v>
      </c>
      <c r="B60" s="252" t="s">
        <v>22</v>
      </c>
      <c r="C60" s="254" t="s">
        <v>23</v>
      </c>
      <c r="D60" s="233"/>
      <c r="E60" s="233"/>
      <c r="F60" s="233"/>
    </row>
    <row r="61" spans="1:6" s="234" customFormat="1" ht="75">
      <c r="A61" s="252">
        <v>902</v>
      </c>
      <c r="B61" s="252" t="s">
        <v>24</v>
      </c>
      <c r="C61" s="254" t="s">
        <v>25</v>
      </c>
      <c r="D61" s="233"/>
      <c r="E61" s="233"/>
      <c r="F61" s="233"/>
    </row>
    <row r="62" spans="1:6" s="234" customFormat="1" ht="55.9" customHeight="1">
      <c r="A62" s="245">
        <v>902</v>
      </c>
      <c r="B62" s="252" t="s">
        <v>26</v>
      </c>
      <c r="C62" s="254" t="s">
        <v>27</v>
      </c>
      <c r="D62" s="233"/>
      <c r="E62" s="233"/>
      <c r="F62" s="233"/>
    </row>
    <row r="63" spans="1:6" s="234" customFormat="1" ht="77.25" customHeight="1">
      <c r="A63" s="245">
        <v>902</v>
      </c>
      <c r="B63" s="252" t="s">
        <v>508</v>
      </c>
      <c r="C63" s="254" t="s">
        <v>507</v>
      </c>
      <c r="D63" s="233"/>
      <c r="E63" s="233"/>
      <c r="F63" s="233"/>
    </row>
    <row r="64" spans="1:6" s="234" customFormat="1" ht="77.25" customHeight="1">
      <c r="A64" s="245">
        <v>902</v>
      </c>
      <c r="B64" s="252" t="s">
        <v>509</v>
      </c>
      <c r="C64" s="254" t="s">
        <v>510</v>
      </c>
      <c r="D64" s="233"/>
      <c r="E64" s="233"/>
      <c r="F64" s="233"/>
    </row>
    <row r="65" spans="1:6" ht="56.25">
      <c r="A65" s="251">
        <v>905</v>
      </c>
      <c r="B65" s="252"/>
      <c r="C65" s="253" t="s">
        <v>28</v>
      </c>
    </row>
    <row r="66" spans="1:6" ht="56.25">
      <c r="A66" s="252">
        <v>905</v>
      </c>
      <c r="B66" s="252" t="s">
        <v>62</v>
      </c>
      <c r="C66" s="254" t="s">
        <v>63</v>
      </c>
      <c r="D66" s="235"/>
      <c r="E66" s="235"/>
      <c r="F66" s="235"/>
    </row>
    <row r="67" spans="1:6" ht="37.5">
      <c r="A67" s="252">
        <v>905</v>
      </c>
      <c r="B67" s="252" t="s">
        <v>6</v>
      </c>
      <c r="C67" s="254" t="s">
        <v>7</v>
      </c>
      <c r="D67" s="235"/>
      <c r="E67" s="235"/>
      <c r="F67" s="235"/>
    </row>
    <row r="68" spans="1:6" ht="56.25">
      <c r="A68" s="252">
        <v>905</v>
      </c>
      <c r="B68" s="252" t="s">
        <v>513</v>
      </c>
      <c r="C68" s="254" t="s">
        <v>514</v>
      </c>
      <c r="D68" s="235"/>
      <c r="E68" s="235"/>
      <c r="F68" s="235"/>
    </row>
    <row r="69" spans="1:6" s="234" customFormat="1" ht="99" customHeight="1">
      <c r="A69" s="245">
        <v>905</v>
      </c>
      <c r="B69" s="245" t="s">
        <v>8</v>
      </c>
      <c r="C69" s="254" t="s">
        <v>9</v>
      </c>
      <c r="D69" s="233"/>
      <c r="E69" s="233"/>
      <c r="F69" s="233"/>
    </row>
    <row r="70" spans="1:6" s="234" customFormat="1" ht="37.5">
      <c r="A70" s="245">
        <v>905</v>
      </c>
      <c r="B70" s="245" t="s">
        <v>11</v>
      </c>
      <c r="C70" s="254" t="s">
        <v>12</v>
      </c>
      <c r="D70" s="233"/>
      <c r="E70" s="233"/>
      <c r="F70" s="233"/>
    </row>
    <row r="71" spans="1:6" ht="37.5">
      <c r="A71" s="252">
        <v>905</v>
      </c>
      <c r="B71" s="252" t="s">
        <v>704</v>
      </c>
      <c r="C71" s="254" t="s">
        <v>29</v>
      </c>
    </row>
    <row r="72" spans="1:6" ht="55.15" customHeight="1">
      <c r="A72" s="252">
        <v>905</v>
      </c>
      <c r="B72" s="252" t="s">
        <v>705</v>
      </c>
      <c r="C72" s="254" t="s">
        <v>30</v>
      </c>
    </row>
    <row r="73" spans="1:6" ht="37.5">
      <c r="A73" s="252">
        <v>905</v>
      </c>
      <c r="B73" s="252" t="s">
        <v>701</v>
      </c>
      <c r="C73" s="254" t="s">
        <v>16</v>
      </c>
    </row>
    <row r="74" spans="1:6" ht="93.75">
      <c r="A74" s="252">
        <v>905</v>
      </c>
      <c r="B74" s="252" t="s">
        <v>706</v>
      </c>
      <c r="C74" s="254" t="s">
        <v>35</v>
      </c>
    </row>
    <row r="75" spans="1:6" ht="150">
      <c r="A75" s="252">
        <v>905</v>
      </c>
      <c r="B75" s="252" t="s">
        <v>741</v>
      </c>
      <c r="C75" s="259" t="s">
        <v>637</v>
      </c>
    </row>
    <row r="76" spans="1:6" ht="75">
      <c r="A76" s="245">
        <v>905</v>
      </c>
      <c r="B76" s="252" t="s">
        <v>729</v>
      </c>
      <c r="C76" s="254" t="s">
        <v>568</v>
      </c>
    </row>
    <row r="77" spans="1:6" ht="37.5">
      <c r="A77" s="252">
        <v>905</v>
      </c>
      <c r="B77" s="252" t="s">
        <v>31</v>
      </c>
      <c r="C77" s="254" t="s">
        <v>32</v>
      </c>
    </row>
    <row r="78" spans="1:6" ht="37.5">
      <c r="A78" s="252">
        <v>905</v>
      </c>
      <c r="B78" s="252" t="s">
        <v>33</v>
      </c>
      <c r="C78" s="254" t="s">
        <v>34</v>
      </c>
    </row>
    <row r="79" spans="1:6" ht="37.5">
      <c r="A79" s="251">
        <v>910</v>
      </c>
      <c r="B79" s="252"/>
      <c r="C79" s="253" t="s">
        <v>88</v>
      </c>
    </row>
    <row r="80" spans="1:6" ht="37.5">
      <c r="A80" s="245">
        <v>910</v>
      </c>
      <c r="B80" s="245" t="s">
        <v>6</v>
      </c>
      <c r="C80" s="254" t="s">
        <v>7</v>
      </c>
    </row>
    <row r="81" spans="1:6" ht="56.25">
      <c r="A81" s="252">
        <v>910</v>
      </c>
      <c r="B81" s="245" t="s">
        <v>513</v>
      </c>
      <c r="C81" s="254" t="s">
        <v>514</v>
      </c>
      <c r="D81" s="235"/>
      <c r="E81" s="235"/>
      <c r="F81" s="235"/>
    </row>
    <row r="82" spans="1:6" s="234" customFormat="1" ht="56.25">
      <c r="A82" s="245">
        <v>910</v>
      </c>
      <c r="B82" s="245" t="s">
        <v>10</v>
      </c>
      <c r="C82" s="254" t="s">
        <v>433</v>
      </c>
      <c r="D82" s="233"/>
      <c r="E82" s="233"/>
      <c r="F82" s="233"/>
    </row>
    <row r="83" spans="1:6" s="234" customFormat="1" ht="37.5">
      <c r="A83" s="252">
        <v>910</v>
      </c>
      <c r="B83" s="245" t="s">
        <v>11</v>
      </c>
      <c r="C83" s="254" t="s">
        <v>12</v>
      </c>
      <c r="D83" s="233"/>
      <c r="E83" s="233"/>
      <c r="F83" s="233"/>
    </row>
    <row r="84" spans="1:6" ht="93.75">
      <c r="A84" s="252">
        <v>910</v>
      </c>
      <c r="B84" s="252" t="s">
        <v>706</v>
      </c>
      <c r="C84" s="254" t="s">
        <v>35</v>
      </c>
    </row>
    <row r="85" spans="1:6" ht="75">
      <c r="A85" s="252">
        <v>910</v>
      </c>
      <c r="B85" s="252" t="s">
        <v>729</v>
      </c>
      <c r="C85" s="254" t="s">
        <v>568</v>
      </c>
    </row>
    <row r="86" spans="1:6" ht="56.25">
      <c r="A86" s="253">
        <v>921</v>
      </c>
      <c r="B86" s="245"/>
      <c r="C86" s="253" t="s">
        <v>36</v>
      </c>
    </row>
    <row r="87" spans="1:6" s="234" customFormat="1" ht="80.25" customHeight="1">
      <c r="A87" s="252">
        <v>921</v>
      </c>
      <c r="B87" s="252" t="s">
        <v>219</v>
      </c>
      <c r="C87" s="254" t="s">
        <v>37</v>
      </c>
      <c r="D87" s="233"/>
      <c r="E87" s="233"/>
      <c r="F87" s="233"/>
    </row>
    <row r="88" spans="1:6" s="234" customFormat="1" ht="75">
      <c r="A88" s="252">
        <v>921</v>
      </c>
      <c r="B88" s="252" t="s">
        <v>435</v>
      </c>
      <c r="C88" s="254" t="s">
        <v>38</v>
      </c>
      <c r="D88" s="233"/>
      <c r="E88" s="233"/>
      <c r="F88" s="233"/>
    </row>
    <row r="89" spans="1:6" s="234" customFormat="1" ht="131.25">
      <c r="A89" s="252">
        <v>921</v>
      </c>
      <c r="B89" s="245" t="s">
        <v>577</v>
      </c>
      <c r="C89" s="254" t="s">
        <v>578</v>
      </c>
      <c r="D89" s="233"/>
      <c r="E89" s="233"/>
      <c r="F89" s="233"/>
    </row>
    <row r="90" spans="1:6" s="234" customFormat="1" ht="56.25">
      <c r="A90" s="252">
        <v>921</v>
      </c>
      <c r="B90" s="252" t="s">
        <v>436</v>
      </c>
      <c r="C90" s="254" t="s">
        <v>39</v>
      </c>
      <c r="D90" s="233"/>
      <c r="E90" s="233"/>
      <c r="F90" s="233"/>
    </row>
    <row r="91" spans="1:6" s="234" customFormat="1" ht="77.25" customHeight="1">
      <c r="A91" s="252">
        <v>921</v>
      </c>
      <c r="B91" s="252" t="s">
        <v>223</v>
      </c>
      <c r="C91" s="254" t="s">
        <v>40</v>
      </c>
      <c r="D91" s="233"/>
      <c r="E91" s="233"/>
      <c r="F91" s="233"/>
    </row>
    <row r="92" spans="1:6" s="234" customFormat="1" ht="112.5">
      <c r="A92" s="252">
        <v>921</v>
      </c>
      <c r="B92" s="252" t="s">
        <v>511</v>
      </c>
      <c r="C92" s="254" t="s">
        <v>512</v>
      </c>
      <c r="D92" s="233"/>
      <c r="E92" s="233"/>
      <c r="F92" s="233"/>
    </row>
    <row r="93" spans="1:6" s="234" customFormat="1" ht="56.25">
      <c r="A93" s="252">
        <v>921</v>
      </c>
      <c r="B93" s="252" t="s">
        <v>833</v>
      </c>
      <c r="C93" s="254" t="s">
        <v>663</v>
      </c>
      <c r="D93" s="233"/>
      <c r="E93" s="233"/>
      <c r="F93" s="233"/>
    </row>
    <row r="94" spans="1:6" s="234" customFormat="1" ht="37.5">
      <c r="A94" s="252">
        <v>921</v>
      </c>
      <c r="B94" s="252" t="s">
        <v>6</v>
      </c>
      <c r="C94" s="254" t="s">
        <v>7</v>
      </c>
      <c r="D94" s="233"/>
      <c r="E94" s="233"/>
      <c r="F94" s="233"/>
    </row>
    <row r="95" spans="1:6" s="234" customFormat="1" ht="111" customHeight="1">
      <c r="A95" s="252">
        <v>921</v>
      </c>
      <c r="B95" s="252" t="s">
        <v>41</v>
      </c>
      <c r="C95" s="254" t="s">
        <v>42</v>
      </c>
      <c r="D95" s="233"/>
      <c r="E95" s="233"/>
      <c r="F95" s="233"/>
    </row>
    <row r="96" spans="1:6" s="234" customFormat="1" ht="126" customHeight="1">
      <c r="A96" s="252">
        <v>921</v>
      </c>
      <c r="B96" s="252" t="s">
        <v>43</v>
      </c>
      <c r="C96" s="254" t="s">
        <v>44</v>
      </c>
      <c r="D96" s="233"/>
      <c r="E96" s="233"/>
      <c r="F96" s="233"/>
    </row>
    <row r="97" spans="1:6" s="234" customFormat="1" ht="110.45" customHeight="1">
      <c r="A97" s="252">
        <v>921</v>
      </c>
      <c r="B97" s="252" t="s">
        <v>45</v>
      </c>
      <c r="C97" s="254" t="s">
        <v>46</v>
      </c>
      <c r="D97" s="233"/>
      <c r="E97" s="233"/>
      <c r="F97" s="233"/>
    </row>
    <row r="98" spans="1:6" s="234" customFormat="1" ht="132" customHeight="1">
      <c r="A98" s="252">
        <v>921</v>
      </c>
      <c r="B98" s="252" t="s">
        <v>437</v>
      </c>
      <c r="C98" s="254" t="s">
        <v>47</v>
      </c>
      <c r="D98" s="233"/>
      <c r="E98" s="233"/>
      <c r="F98" s="233"/>
    </row>
    <row r="99" spans="1:6" s="234" customFormat="1" ht="99" customHeight="1">
      <c r="A99" s="252">
        <v>921</v>
      </c>
      <c r="B99" s="245" t="s">
        <v>579</v>
      </c>
      <c r="C99" s="254" t="s">
        <v>580</v>
      </c>
      <c r="D99" s="233"/>
      <c r="E99" s="233"/>
      <c r="F99" s="233"/>
    </row>
    <row r="100" spans="1:6" s="234" customFormat="1" ht="93.75">
      <c r="A100" s="252">
        <v>921</v>
      </c>
      <c r="B100" s="245" t="s">
        <v>553</v>
      </c>
      <c r="C100" s="254" t="s">
        <v>565</v>
      </c>
      <c r="D100" s="233"/>
      <c r="E100" s="233"/>
      <c r="F100" s="233"/>
    </row>
    <row r="101" spans="1:6" s="234" customFormat="1" ht="150">
      <c r="A101" s="252">
        <v>921</v>
      </c>
      <c r="B101" s="245" t="s">
        <v>742</v>
      </c>
      <c r="C101" s="254" t="s">
        <v>743</v>
      </c>
      <c r="D101" s="233"/>
      <c r="E101" s="233"/>
      <c r="F101" s="233"/>
    </row>
    <row r="102" spans="1:6" s="234" customFormat="1" ht="75">
      <c r="A102" s="252">
        <v>921</v>
      </c>
      <c r="B102" s="245" t="s">
        <v>887</v>
      </c>
      <c r="C102" s="254" t="s">
        <v>888</v>
      </c>
      <c r="D102" s="233"/>
      <c r="E102" s="233"/>
      <c r="F102" s="233"/>
    </row>
    <row r="103" spans="1:6" s="234" customFormat="1" ht="93.75">
      <c r="A103" s="245">
        <v>921</v>
      </c>
      <c r="B103" s="245" t="s">
        <v>8</v>
      </c>
      <c r="C103" s="254" t="s">
        <v>9</v>
      </c>
      <c r="D103" s="233"/>
      <c r="E103" s="233"/>
      <c r="F103" s="233"/>
    </row>
    <row r="104" spans="1:6" s="234" customFormat="1" ht="56.25">
      <c r="A104" s="245">
        <v>921</v>
      </c>
      <c r="B104" s="245" t="s">
        <v>10</v>
      </c>
      <c r="C104" s="254" t="s">
        <v>433</v>
      </c>
      <c r="D104" s="233"/>
      <c r="E104" s="233"/>
      <c r="F104" s="233"/>
    </row>
    <row r="105" spans="1:6" s="234" customFormat="1" ht="37.5">
      <c r="A105" s="245">
        <v>921</v>
      </c>
      <c r="B105" s="245" t="s">
        <v>11</v>
      </c>
      <c r="C105" s="254" t="s">
        <v>12</v>
      </c>
      <c r="D105" s="233"/>
      <c r="E105" s="233"/>
      <c r="F105" s="233"/>
    </row>
    <row r="106" spans="1:6" s="234" customFormat="1" ht="37.5">
      <c r="A106" s="252">
        <v>921</v>
      </c>
      <c r="B106" s="252" t="s">
        <v>14</v>
      </c>
      <c r="C106" s="256" t="s">
        <v>15</v>
      </c>
      <c r="D106" s="233"/>
      <c r="E106" s="233"/>
      <c r="F106" s="233"/>
    </row>
    <row r="107" spans="1:6" s="234" customFormat="1" ht="56.25">
      <c r="A107" s="252">
        <v>921</v>
      </c>
      <c r="B107" s="252" t="s">
        <v>855</v>
      </c>
      <c r="C107" s="256" t="s">
        <v>856</v>
      </c>
      <c r="D107" s="233"/>
      <c r="E107" s="233"/>
      <c r="F107" s="233"/>
    </row>
    <row r="108" spans="1:6" ht="37.5">
      <c r="A108" s="245">
        <v>921</v>
      </c>
      <c r="B108" s="252" t="s">
        <v>701</v>
      </c>
      <c r="C108" s="254" t="s">
        <v>16</v>
      </c>
    </row>
    <row r="109" spans="1:6" ht="56.25">
      <c r="A109" s="245">
        <v>921</v>
      </c>
      <c r="B109" s="252" t="s">
        <v>702</v>
      </c>
      <c r="C109" s="254" t="s">
        <v>17</v>
      </c>
    </row>
    <row r="110" spans="1:6" ht="93.75">
      <c r="A110" s="245">
        <v>921</v>
      </c>
      <c r="B110" s="252" t="s">
        <v>707</v>
      </c>
      <c r="C110" s="254" t="s">
        <v>48</v>
      </c>
    </row>
    <row r="111" spans="1:6" ht="37.5">
      <c r="A111" s="245">
        <v>921</v>
      </c>
      <c r="B111" s="252" t="s">
        <v>708</v>
      </c>
      <c r="C111" s="254" t="s">
        <v>49</v>
      </c>
    </row>
    <row r="112" spans="1:6" ht="37.5">
      <c r="A112" s="245">
        <v>921</v>
      </c>
      <c r="B112" s="245" t="s">
        <v>709</v>
      </c>
      <c r="C112" s="254" t="s">
        <v>50</v>
      </c>
    </row>
    <row r="113" spans="1:6" ht="56.25">
      <c r="A113" s="245">
        <v>921</v>
      </c>
      <c r="B113" s="252" t="s">
        <v>728</v>
      </c>
      <c r="C113" s="254" t="s">
        <v>51</v>
      </c>
    </row>
    <row r="114" spans="1:6" ht="75">
      <c r="A114" s="245">
        <v>921</v>
      </c>
      <c r="B114" s="252" t="s">
        <v>729</v>
      </c>
      <c r="C114" s="254" t="s">
        <v>568</v>
      </c>
    </row>
    <row r="115" spans="1:6" s="234" customFormat="1" ht="56.25">
      <c r="A115" s="245">
        <v>921</v>
      </c>
      <c r="B115" s="252" t="s">
        <v>52</v>
      </c>
      <c r="C115" s="254" t="s">
        <v>53</v>
      </c>
      <c r="D115" s="260"/>
      <c r="E115" s="233"/>
      <c r="F115" s="261"/>
    </row>
    <row r="116" spans="1:6" ht="56.25">
      <c r="A116" s="253">
        <v>925</v>
      </c>
      <c r="B116" s="245"/>
      <c r="C116" s="253" t="s">
        <v>54</v>
      </c>
    </row>
    <row r="117" spans="1:6" s="234" customFormat="1" ht="98.25" customHeight="1">
      <c r="A117" s="252">
        <v>925</v>
      </c>
      <c r="B117" s="252" t="s">
        <v>604</v>
      </c>
      <c r="C117" s="254" t="s">
        <v>605</v>
      </c>
      <c r="D117" s="233"/>
      <c r="E117" s="233"/>
      <c r="F117" s="233"/>
    </row>
    <row r="118" spans="1:6" s="234" customFormat="1" ht="56.25">
      <c r="A118" s="252">
        <v>925</v>
      </c>
      <c r="B118" s="252" t="s">
        <v>833</v>
      </c>
      <c r="C118" s="254" t="s">
        <v>663</v>
      </c>
      <c r="D118" s="233"/>
      <c r="E118" s="233"/>
      <c r="F118" s="233"/>
    </row>
    <row r="119" spans="1:6" s="234" customFormat="1" ht="37.5">
      <c r="A119" s="252">
        <v>925</v>
      </c>
      <c r="B119" s="252" t="s">
        <v>6</v>
      </c>
      <c r="C119" s="254" t="s">
        <v>7</v>
      </c>
      <c r="D119" s="233"/>
      <c r="E119" s="233"/>
      <c r="F119" s="233"/>
    </row>
    <row r="120" spans="1:6" s="234" customFormat="1" ht="109.9" customHeight="1">
      <c r="A120" s="252">
        <v>925</v>
      </c>
      <c r="B120" s="252" t="s">
        <v>45</v>
      </c>
      <c r="C120" s="254" t="s">
        <v>46</v>
      </c>
      <c r="D120" s="233"/>
      <c r="E120" s="233"/>
      <c r="F120" s="233"/>
    </row>
    <row r="121" spans="1:6" s="234" customFormat="1" ht="93.75">
      <c r="A121" s="245">
        <v>925</v>
      </c>
      <c r="B121" s="245" t="s">
        <v>8</v>
      </c>
      <c r="C121" s="254" t="s">
        <v>9</v>
      </c>
      <c r="D121" s="233"/>
      <c r="E121" s="233"/>
      <c r="F121" s="233"/>
    </row>
    <row r="122" spans="1:6" s="234" customFormat="1" ht="56.25">
      <c r="A122" s="245">
        <v>925</v>
      </c>
      <c r="B122" s="245" t="s">
        <v>10</v>
      </c>
      <c r="C122" s="254" t="s">
        <v>433</v>
      </c>
      <c r="D122" s="233"/>
      <c r="E122" s="233"/>
      <c r="F122" s="233"/>
    </row>
    <row r="123" spans="1:6" s="234" customFormat="1" ht="37.5">
      <c r="A123" s="245">
        <v>925</v>
      </c>
      <c r="B123" s="245" t="s">
        <v>11</v>
      </c>
      <c r="C123" s="254" t="s">
        <v>12</v>
      </c>
      <c r="D123" s="233"/>
      <c r="E123" s="233"/>
      <c r="F123" s="233"/>
    </row>
    <row r="124" spans="1:6" s="234" customFormat="1" ht="37.5">
      <c r="A124" s="252">
        <v>925</v>
      </c>
      <c r="B124" s="252" t="s">
        <v>14</v>
      </c>
      <c r="C124" s="256" t="s">
        <v>15</v>
      </c>
      <c r="D124" s="233"/>
      <c r="E124" s="233"/>
      <c r="F124" s="233"/>
    </row>
    <row r="125" spans="1:6" ht="37.5">
      <c r="A125" s="245">
        <v>925</v>
      </c>
      <c r="B125" s="252" t="s">
        <v>710</v>
      </c>
      <c r="C125" s="254" t="s">
        <v>55</v>
      </c>
    </row>
    <row r="126" spans="1:6" ht="75">
      <c r="A126" s="245">
        <v>925</v>
      </c>
      <c r="B126" s="252" t="s">
        <v>847</v>
      </c>
      <c r="C126" s="254" t="s">
        <v>850</v>
      </c>
    </row>
    <row r="127" spans="1:6" ht="37.5">
      <c r="A127" s="245">
        <v>925</v>
      </c>
      <c r="B127" s="252" t="s">
        <v>701</v>
      </c>
      <c r="C127" s="254" t="s">
        <v>16</v>
      </c>
    </row>
    <row r="128" spans="1:6" ht="56.25">
      <c r="A128" s="245">
        <v>925</v>
      </c>
      <c r="B128" s="252" t="s">
        <v>702</v>
      </c>
      <c r="C128" s="254" t="s">
        <v>17</v>
      </c>
    </row>
    <row r="129" spans="1:6" ht="112.5">
      <c r="A129" s="245">
        <v>925</v>
      </c>
      <c r="B129" s="252" t="s">
        <v>711</v>
      </c>
      <c r="C129" s="254" t="s">
        <v>56</v>
      </c>
    </row>
    <row r="130" spans="1:6" ht="37.5">
      <c r="A130" s="245">
        <v>925</v>
      </c>
      <c r="B130" s="245" t="s">
        <v>709</v>
      </c>
      <c r="C130" s="254" t="s">
        <v>50</v>
      </c>
    </row>
    <row r="131" spans="1:6" ht="56.25">
      <c r="A131" s="245">
        <v>925</v>
      </c>
      <c r="B131" s="252" t="s">
        <v>728</v>
      </c>
      <c r="C131" s="254" t="s">
        <v>51</v>
      </c>
    </row>
    <row r="132" spans="1:6" ht="75">
      <c r="A132" s="245">
        <v>925</v>
      </c>
      <c r="B132" s="252" t="s">
        <v>729</v>
      </c>
      <c r="C132" s="254" t="s">
        <v>568</v>
      </c>
    </row>
    <row r="133" spans="1:6" ht="56.25">
      <c r="A133" s="253">
        <v>926</v>
      </c>
      <c r="B133" s="245"/>
      <c r="C133" s="253" t="s">
        <v>57</v>
      </c>
    </row>
    <row r="134" spans="1:6" ht="56.25">
      <c r="A134" s="252">
        <v>926</v>
      </c>
      <c r="B134" s="252" t="s">
        <v>62</v>
      </c>
      <c r="C134" s="254" t="s">
        <v>63</v>
      </c>
    </row>
    <row r="135" spans="1:6" s="234" customFormat="1" ht="37.5">
      <c r="A135" s="252">
        <v>926</v>
      </c>
      <c r="B135" s="252" t="s">
        <v>6</v>
      </c>
      <c r="C135" s="254" t="s">
        <v>7</v>
      </c>
      <c r="D135" s="233"/>
      <c r="E135" s="233"/>
      <c r="F135" s="233"/>
    </row>
    <row r="136" spans="1:6" s="234" customFormat="1" ht="93.75">
      <c r="A136" s="245">
        <v>926</v>
      </c>
      <c r="B136" s="245" t="s">
        <v>8</v>
      </c>
      <c r="C136" s="254" t="s">
        <v>9</v>
      </c>
      <c r="D136" s="233"/>
      <c r="E136" s="233"/>
      <c r="F136" s="233"/>
    </row>
    <row r="137" spans="1:6" s="234" customFormat="1" ht="37.5">
      <c r="A137" s="245">
        <v>926</v>
      </c>
      <c r="B137" s="245" t="s">
        <v>11</v>
      </c>
      <c r="C137" s="254" t="s">
        <v>12</v>
      </c>
      <c r="D137" s="233"/>
      <c r="E137" s="233"/>
      <c r="F137" s="233"/>
    </row>
    <row r="138" spans="1:6" s="234" customFormat="1" ht="37.5">
      <c r="A138" s="245">
        <v>926</v>
      </c>
      <c r="B138" s="245" t="s">
        <v>712</v>
      </c>
      <c r="C138" s="254" t="s">
        <v>582</v>
      </c>
      <c r="D138" s="233"/>
      <c r="E138" s="233"/>
      <c r="F138" s="233"/>
    </row>
    <row r="139" spans="1:6" ht="37.5">
      <c r="A139" s="245">
        <v>926</v>
      </c>
      <c r="B139" s="252" t="s">
        <v>701</v>
      </c>
      <c r="C139" s="254" t="s">
        <v>16</v>
      </c>
    </row>
    <row r="140" spans="1:6" ht="93.75">
      <c r="A140" s="245">
        <v>926</v>
      </c>
      <c r="B140" s="252" t="s">
        <v>706</v>
      </c>
      <c r="C140" s="254" t="s">
        <v>35</v>
      </c>
    </row>
    <row r="141" spans="1:6" ht="37.5">
      <c r="A141" s="245">
        <v>926</v>
      </c>
      <c r="B141" s="252" t="s">
        <v>709</v>
      </c>
      <c r="C141" s="254" t="s">
        <v>50</v>
      </c>
    </row>
    <row r="142" spans="1:6" ht="57.75" customHeight="1">
      <c r="A142" s="245">
        <v>926</v>
      </c>
      <c r="B142" s="252" t="s">
        <v>739</v>
      </c>
      <c r="C142" s="254" t="s">
        <v>19</v>
      </c>
    </row>
    <row r="143" spans="1:6" ht="56.25">
      <c r="A143" s="245">
        <v>926</v>
      </c>
      <c r="B143" s="252" t="s">
        <v>728</v>
      </c>
      <c r="C143" s="254" t="s">
        <v>51</v>
      </c>
    </row>
    <row r="144" spans="1:6" ht="75">
      <c r="A144" s="245">
        <v>926</v>
      </c>
      <c r="B144" s="252" t="s">
        <v>729</v>
      </c>
      <c r="C144" s="254" t="s">
        <v>568</v>
      </c>
    </row>
    <row r="145" spans="1:6" ht="56.25">
      <c r="A145" s="253">
        <v>929</v>
      </c>
      <c r="B145" s="252"/>
      <c r="C145" s="253" t="s">
        <v>58</v>
      </c>
    </row>
    <row r="146" spans="1:6" ht="37.5">
      <c r="A146" s="245">
        <v>929</v>
      </c>
      <c r="B146" s="245" t="s">
        <v>6</v>
      </c>
      <c r="C146" s="254" t="s">
        <v>7</v>
      </c>
    </row>
    <row r="147" spans="1:6" ht="133.5" customHeight="1">
      <c r="A147" s="252">
        <v>929</v>
      </c>
      <c r="B147" s="252" t="s">
        <v>45</v>
      </c>
      <c r="C147" s="254" t="s">
        <v>46</v>
      </c>
      <c r="D147" s="235"/>
      <c r="E147" s="235"/>
      <c r="F147" s="235"/>
    </row>
    <row r="148" spans="1:6" ht="37.5">
      <c r="A148" s="252">
        <v>929</v>
      </c>
      <c r="B148" s="245" t="s">
        <v>11</v>
      </c>
      <c r="C148" s="254" t="s">
        <v>12</v>
      </c>
      <c r="D148" s="235"/>
      <c r="E148" s="235"/>
      <c r="F148" s="235"/>
    </row>
    <row r="149" spans="1:6" ht="37.5">
      <c r="A149" s="252">
        <v>929</v>
      </c>
      <c r="B149" s="252" t="s">
        <v>14</v>
      </c>
      <c r="C149" s="256" t="s">
        <v>15</v>
      </c>
      <c r="D149" s="235"/>
      <c r="E149" s="235"/>
      <c r="F149" s="235"/>
    </row>
    <row r="150" spans="1:6" ht="37.5">
      <c r="A150" s="245">
        <v>929</v>
      </c>
      <c r="B150" s="252" t="s">
        <v>701</v>
      </c>
      <c r="C150" s="254" t="s">
        <v>16</v>
      </c>
    </row>
    <row r="151" spans="1:6" ht="75">
      <c r="A151" s="245">
        <v>929</v>
      </c>
      <c r="B151" s="252" t="s">
        <v>729</v>
      </c>
      <c r="C151" s="254" t="s">
        <v>568</v>
      </c>
    </row>
    <row r="152" spans="1:6" ht="56.25">
      <c r="A152" s="253">
        <v>934</v>
      </c>
      <c r="B152" s="252"/>
      <c r="C152" s="253" t="s">
        <v>59</v>
      </c>
    </row>
    <row r="153" spans="1:6" s="234" customFormat="1" ht="37.5">
      <c r="A153" s="245">
        <v>934</v>
      </c>
      <c r="B153" s="245" t="s">
        <v>6</v>
      </c>
      <c r="C153" s="254" t="s">
        <v>7</v>
      </c>
      <c r="D153" s="233"/>
      <c r="E153" s="233"/>
      <c r="F153" s="233"/>
    </row>
    <row r="154" spans="1:6" s="234" customFormat="1" ht="93.75">
      <c r="A154" s="245">
        <v>934</v>
      </c>
      <c r="B154" s="245" t="s">
        <v>8</v>
      </c>
      <c r="C154" s="254" t="s">
        <v>9</v>
      </c>
      <c r="D154" s="233"/>
      <c r="E154" s="233"/>
      <c r="F154" s="233"/>
    </row>
    <row r="155" spans="1:6" s="234" customFormat="1" ht="37.5">
      <c r="A155" s="252">
        <v>934</v>
      </c>
      <c r="B155" s="245" t="s">
        <v>11</v>
      </c>
      <c r="C155" s="254" t="s">
        <v>12</v>
      </c>
      <c r="D155" s="233"/>
      <c r="E155" s="233"/>
      <c r="F155" s="233"/>
    </row>
    <row r="156" spans="1:6" ht="75">
      <c r="A156" s="245">
        <v>934</v>
      </c>
      <c r="B156" s="252" t="s">
        <v>729</v>
      </c>
      <c r="C156" s="254" t="s">
        <v>568</v>
      </c>
    </row>
    <row r="157" spans="1:6" ht="38.450000000000003" customHeight="1">
      <c r="A157" s="253">
        <v>953</v>
      </c>
      <c r="B157" s="245"/>
      <c r="C157" s="253" t="s">
        <v>60</v>
      </c>
    </row>
    <row r="158" spans="1:6" ht="37.5">
      <c r="A158" s="252">
        <v>953</v>
      </c>
      <c r="B158" s="245" t="s">
        <v>6</v>
      </c>
      <c r="C158" s="254" t="s">
        <v>7</v>
      </c>
    </row>
    <row r="159" spans="1:6" s="234" customFormat="1" ht="37.5">
      <c r="A159" s="252">
        <v>953</v>
      </c>
      <c r="B159" s="245" t="s">
        <v>11</v>
      </c>
      <c r="C159" s="254" t="s">
        <v>12</v>
      </c>
      <c r="D159" s="233"/>
      <c r="E159" s="233"/>
      <c r="F159" s="233"/>
    </row>
    <row r="160" spans="1:6" ht="56.25">
      <c r="A160" s="245">
        <v>953</v>
      </c>
      <c r="B160" s="252" t="s">
        <v>702</v>
      </c>
      <c r="C160" s="254" t="s">
        <v>17</v>
      </c>
    </row>
    <row r="161" spans="1:8" ht="75">
      <c r="A161" s="245">
        <v>953</v>
      </c>
      <c r="B161" s="252" t="s">
        <v>713</v>
      </c>
      <c r="C161" s="254" t="s">
        <v>61</v>
      </c>
    </row>
    <row r="162" spans="1:8" ht="75">
      <c r="A162" s="245">
        <v>953</v>
      </c>
      <c r="B162" s="252" t="s">
        <v>729</v>
      </c>
      <c r="C162" s="254" t="s">
        <v>568</v>
      </c>
    </row>
    <row r="164" spans="1:8" ht="18.75">
      <c r="A164" s="904" t="s">
        <v>438</v>
      </c>
      <c r="B164" s="904"/>
      <c r="C164" s="904"/>
    </row>
    <row r="165" spans="1:8" hidden="1"/>
    <row r="166" spans="1:8" ht="3.6" customHeight="1"/>
    <row r="167" spans="1:8" s="211" customFormat="1" ht="18.75">
      <c r="A167" s="205" t="s">
        <v>588</v>
      </c>
      <c r="B167" s="206"/>
      <c r="C167" s="207"/>
      <c r="D167" s="207"/>
      <c r="E167" s="207"/>
      <c r="F167" s="208"/>
      <c r="G167" s="209"/>
      <c r="H167" s="210"/>
    </row>
    <row r="168" spans="1:8" s="211" customFormat="1" ht="18.75">
      <c r="A168" s="205" t="s">
        <v>589</v>
      </c>
      <c r="B168" s="206"/>
      <c r="C168" s="207"/>
      <c r="D168" s="207"/>
      <c r="E168" s="207"/>
      <c r="F168" s="208"/>
      <c r="G168" s="209"/>
      <c r="H168" s="210"/>
    </row>
    <row r="169" spans="1:8" s="211" customFormat="1" ht="18.75">
      <c r="A169" s="212" t="s">
        <v>590</v>
      </c>
      <c r="B169" s="206"/>
      <c r="C169" s="262" t="s">
        <v>641</v>
      </c>
      <c r="D169" s="207"/>
      <c r="E169" s="207"/>
      <c r="F169" s="208"/>
    </row>
  </sheetData>
  <mergeCells count="5">
    <mergeCell ref="A7:C7"/>
    <mergeCell ref="A9:B9"/>
    <mergeCell ref="C10:C11"/>
    <mergeCell ref="A10:B10"/>
    <mergeCell ref="A164:C164"/>
  </mergeCells>
  <printOptions horizontalCentered="1"/>
  <pageMargins left="1.1811023622047245" right="0.39370078740157483" top="0.6692913385826772" bottom="0.6692913385826772" header="0.31496062992125984" footer="0.31496062992125984"/>
  <pageSetup paperSize="9" scale="72" fitToHeight="0" orientation="portrait" blackAndWhite="1" r:id="rId1"/>
  <rowBreaks count="1" manualBreakCount="1">
    <brk id="14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A1:J516"/>
  <sheetViews>
    <sheetView zoomScale="90" zoomScaleNormal="90" zoomScaleSheetLayoutView="70" workbookViewId="0">
      <pane ySplit="4" topLeftCell="A5" activePane="bottomLeft" state="frozen"/>
      <selection activeCell="F6" sqref="F6"/>
      <selection pane="bottomLeft" activeCell="H2" sqref="H2"/>
    </sheetView>
  </sheetViews>
  <sheetFormatPr defaultColWidth="9.140625" defaultRowHeight="15.75"/>
  <cols>
    <col min="1" max="1" width="4.5703125" style="411" customWidth="1"/>
    <col min="2" max="2" width="62.42578125" style="412" customWidth="1"/>
    <col min="3" max="3" width="3.140625" style="413" customWidth="1"/>
    <col min="4" max="4" width="2" style="413" customWidth="1"/>
    <col min="5" max="5" width="3" style="413" customWidth="1"/>
    <col min="6" max="6" width="8.85546875" style="413" customWidth="1"/>
    <col min="7" max="7" width="5.5703125" style="414" customWidth="1"/>
    <col min="8" max="8" width="18.7109375" style="415" customWidth="1"/>
    <col min="9" max="9" width="9.140625" style="333"/>
    <col min="10" max="10" width="17.7109375" style="333" customWidth="1"/>
    <col min="11" max="16384" width="9.140625" style="333"/>
  </cols>
  <sheetData>
    <row r="1" spans="1:10" s="236" customFormat="1" ht="18.75">
      <c r="H1" s="244" t="s">
        <v>821</v>
      </c>
    </row>
    <row r="2" spans="1:10" s="236" customFormat="1" ht="18.75">
      <c r="H2" s="244" t="s">
        <v>906</v>
      </c>
    </row>
    <row r="4" spans="1:10" ht="18.75">
      <c r="H4" s="244" t="s">
        <v>699</v>
      </c>
    </row>
    <row r="5" spans="1:10" ht="18.75">
      <c r="H5" s="244" t="s">
        <v>817</v>
      </c>
    </row>
    <row r="6" spans="1:10" ht="10.5" customHeight="1"/>
    <row r="7" spans="1:10" ht="78" customHeight="1">
      <c r="A7" s="929" t="s">
        <v>749</v>
      </c>
      <c r="B7" s="929"/>
      <c r="C7" s="929"/>
      <c r="D7" s="929"/>
      <c r="E7" s="929"/>
      <c r="F7" s="929"/>
      <c r="G7" s="929"/>
      <c r="H7" s="929"/>
    </row>
    <row r="8" spans="1:10" ht="8.25" customHeight="1">
      <c r="A8" s="333"/>
      <c r="B8" s="333"/>
      <c r="C8" s="411"/>
      <c r="D8" s="411"/>
      <c r="E8" s="411"/>
      <c r="F8" s="411"/>
      <c r="G8" s="415"/>
    </row>
    <row r="9" spans="1:10" ht="18.75">
      <c r="A9" s="416"/>
      <c r="B9" s="328"/>
      <c r="C9" s="208"/>
      <c r="D9" s="208"/>
      <c r="E9" s="208"/>
      <c r="F9" s="208"/>
      <c r="G9" s="333"/>
      <c r="H9" s="417" t="s">
        <v>75</v>
      </c>
    </row>
    <row r="10" spans="1:10" ht="56.25">
      <c r="A10" s="418" t="s">
        <v>76</v>
      </c>
      <c r="B10" s="419" t="s">
        <v>77</v>
      </c>
      <c r="C10" s="930" t="s">
        <v>81</v>
      </c>
      <c r="D10" s="931"/>
      <c r="E10" s="931"/>
      <c r="F10" s="932"/>
      <c r="G10" s="419" t="s">
        <v>82</v>
      </c>
      <c r="H10" s="420" t="s">
        <v>66</v>
      </c>
    </row>
    <row r="11" spans="1:10" ht="18.75">
      <c r="A11" s="358">
        <v>1</v>
      </c>
      <c r="B11" s="421">
        <v>2</v>
      </c>
      <c r="C11" s="933" t="s">
        <v>83</v>
      </c>
      <c r="D11" s="934"/>
      <c r="E11" s="934"/>
      <c r="F11" s="935"/>
      <c r="G11" s="422" t="s">
        <v>84</v>
      </c>
      <c r="H11" s="359">
        <v>5</v>
      </c>
    </row>
    <row r="12" spans="1:10" ht="18.75">
      <c r="A12" s="423"/>
      <c r="B12" s="424" t="s">
        <v>281</v>
      </c>
      <c r="C12" s="425"/>
      <c r="D12" s="425"/>
      <c r="E12" s="425"/>
      <c r="F12" s="425"/>
      <c r="G12" s="426"/>
      <c r="H12" s="427">
        <f>H13+H134+H179+H214+H229+H265+H284+H325+H380+H389+H397+H407+H415+H421+H480+H494+H368+H474</f>
        <v>1431427.0425400003</v>
      </c>
      <c r="J12" s="428">
        <f>H12-'прил12(ведом 19)'!M13</f>
        <v>2.0000000484287739E-2</v>
      </c>
    </row>
    <row r="13" spans="1:10" s="435" customFormat="1" ht="56.25">
      <c r="A13" s="429">
        <v>1</v>
      </c>
      <c r="B13" s="430" t="s">
        <v>284</v>
      </c>
      <c r="C13" s="431" t="s">
        <v>92</v>
      </c>
      <c r="D13" s="431" t="s">
        <v>95</v>
      </c>
      <c r="E13" s="431" t="s">
        <v>96</v>
      </c>
      <c r="F13" s="432" t="s">
        <v>97</v>
      </c>
      <c r="G13" s="433"/>
      <c r="H13" s="434">
        <f>H14+H79+H110</f>
        <v>941921.25177000009</v>
      </c>
      <c r="J13" s="821"/>
    </row>
    <row r="14" spans="1:10" ht="37.5">
      <c r="A14" s="423"/>
      <c r="B14" s="436" t="s">
        <v>285</v>
      </c>
      <c r="C14" s="553" t="s">
        <v>92</v>
      </c>
      <c r="D14" s="553" t="s">
        <v>98</v>
      </c>
      <c r="E14" s="553" t="s">
        <v>96</v>
      </c>
      <c r="F14" s="554" t="s">
        <v>97</v>
      </c>
      <c r="G14" s="422"/>
      <c r="H14" s="437">
        <f>H15+H37+H74</f>
        <v>834259.51500000001</v>
      </c>
    </row>
    <row r="15" spans="1:10" ht="18.75">
      <c r="A15" s="423"/>
      <c r="B15" s="436" t="s">
        <v>373</v>
      </c>
      <c r="C15" s="194" t="s">
        <v>92</v>
      </c>
      <c r="D15" s="195" t="s">
        <v>98</v>
      </c>
      <c r="E15" s="195" t="s">
        <v>90</v>
      </c>
      <c r="F15" s="196" t="s">
        <v>97</v>
      </c>
      <c r="G15" s="422"/>
      <c r="H15" s="437">
        <f>H26+H29+H31+H16+H20+H24+H18+H22+H35+H33</f>
        <v>320019.87599999999</v>
      </c>
    </row>
    <row r="16" spans="1:10" ht="75">
      <c r="A16" s="423"/>
      <c r="B16" s="436" t="s">
        <v>151</v>
      </c>
      <c r="C16" s="194" t="s">
        <v>92</v>
      </c>
      <c r="D16" s="195" t="s">
        <v>98</v>
      </c>
      <c r="E16" s="195" t="s">
        <v>90</v>
      </c>
      <c r="F16" s="196" t="s">
        <v>153</v>
      </c>
      <c r="G16" s="197"/>
      <c r="H16" s="437">
        <f>H17</f>
        <v>88346.3</v>
      </c>
    </row>
    <row r="17" spans="1:8" ht="56.25">
      <c r="A17" s="423"/>
      <c r="B17" s="436" t="s">
        <v>135</v>
      </c>
      <c r="C17" s="194" t="s">
        <v>92</v>
      </c>
      <c r="D17" s="195" t="s">
        <v>98</v>
      </c>
      <c r="E17" s="195" t="s">
        <v>90</v>
      </c>
      <c r="F17" s="196" t="s">
        <v>153</v>
      </c>
      <c r="G17" s="197" t="s">
        <v>136</v>
      </c>
      <c r="H17" s="437">
        <f>'прил12(ведом 19)'!M368</f>
        <v>88346.3</v>
      </c>
    </row>
    <row r="18" spans="1:8" ht="37.5">
      <c r="A18" s="423"/>
      <c r="B18" s="397" t="s">
        <v>619</v>
      </c>
      <c r="C18" s="194" t="s">
        <v>92</v>
      </c>
      <c r="D18" s="195" t="s">
        <v>98</v>
      </c>
      <c r="E18" s="195" t="s">
        <v>90</v>
      </c>
      <c r="F18" s="196" t="s">
        <v>618</v>
      </c>
      <c r="G18" s="197"/>
      <c r="H18" s="437">
        <f>H19</f>
        <v>359.09999999999991</v>
      </c>
    </row>
    <row r="19" spans="1:8" ht="56.25">
      <c r="A19" s="423"/>
      <c r="B19" s="436" t="s">
        <v>135</v>
      </c>
      <c r="C19" s="194" t="s">
        <v>92</v>
      </c>
      <c r="D19" s="195" t="s">
        <v>98</v>
      </c>
      <c r="E19" s="195" t="s">
        <v>90</v>
      </c>
      <c r="F19" s="196" t="s">
        <v>618</v>
      </c>
      <c r="G19" s="197" t="s">
        <v>136</v>
      </c>
      <c r="H19" s="437">
        <f>'прил12(ведом 19)'!M370</f>
        <v>359.09999999999991</v>
      </c>
    </row>
    <row r="20" spans="1:8" ht="37.5">
      <c r="A20" s="423"/>
      <c r="B20" s="397" t="s">
        <v>286</v>
      </c>
      <c r="C20" s="194" t="s">
        <v>92</v>
      </c>
      <c r="D20" s="195" t="s">
        <v>98</v>
      </c>
      <c r="E20" s="195" t="s">
        <v>90</v>
      </c>
      <c r="F20" s="196" t="s">
        <v>379</v>
      </c>
      <c r="G20" s="197"/>
      <c r="H20" s="437">
        <f>H21</f>
        <v>7018.576</v>
      </c>
    </row>
    <row r="21" spans="1:8" ht="56.25">
      <c r="A21" s="423"/>
      <c r="B21" s="397" t="s">
        <v>135</v>
      </c>
      <c r="C21" s="194" t="s">
        <v>92</v>
      </c>
      <c r="D21" s="195" t="s">
        <v>98</v>
      </c>
      <c r="E21" s="195" t="s">
        <v>90</v>
      </c>
      <c r="F21" s="196" t="s">
        <v>379</v>
      </c>
      <c r="G21" s="197" t="s">
        <v>136</v>
      </c>
      <c r="H21" s="437">
        <f>'прил12(ведом 19)'!M372</f>
        <v>7018.576</v>
      </c>
    </row>
    <row r="22" spans="1:8" ht="37.5">
      <c r="A22" s="423"/>
      <c r="B22" s="397" t="s">
        <v>287</v>
      </c>
      <c r="C22" s="194" t="s">
        <v>92</v>
      </c>
      <c r="D22" s="195" t="s">
        <v>98</v>
      </c>
      <c r="E22" s="195" t="s">
        <v>90</v>
      </c>
      <c r="F22" s="196" t="s">
        <v>380</v>
      </c>
      <c r="G22" s="197"/>
      <c r="H22" s="437">
        <f>H23</f>
        <v>6985.1</v>
      </c>
    </row>
    <row r="23" spans="1:8" ht="37.5">
      <c r="A23" s="423"/>
      <c r="B23" s="397" t="s">
        <v>282</v>
      </c>
      <c r="C23" s="194" t="s">
        <v>92</v>
      </c>
      <c r="D23" s="195" t="s">
        <v>98</v>
      </c>
      <c r="E23" s="195" t="s">
        <v>90</v>
      </c>
      <c r="F23" s="196" t="s">
        <v>380</v>
      </c>
      <c r="G23" s="197" t="s">
        <v>283</v>
      </c>
      <c r="H23" s="437">
        <f>'прил12(ведом 19)'!M328</f>
        <v>6985.1</v>
      </c>
    </row>
    <row r="24" spans="1:8" ht="56.25">
      <c r="A24" s="423"/>
      <c r="B24" s="397" t="s">
        <v>288</v>
      </c>
      <c r="C24" s="194" t="s">
        <v>92</v>
      </c>
      <c r="D24" s="195" t="s">
        <v>98</v>
      </c>
      <c r="E24" s="195" t="s">
        <v>90</v>
      </c>
      <c r="F24" s="196" t="s">
        <v>381</v>
      </c>
      <c r="G24" s="197"/>
      <c r="H24" s="437">
        <f>H25</f>
        <v>7.5</v>
      </c>
    </row>
    <row r="25" spans="1:8" ht="56.25">
      <c r="A25" s="423"/>
      <c r="B25" s="397" t="s">
        <v>135</v>
      </c>
      <c r="C25" s="194" t="s">
        <v>92</v>
      </c>
      <c r="D25" s="195" t="s">
        <v>98</v>
      </c>
      <c r="E25" s="195" t="s">
        <v>90</v>
      </c>
      <c r="F25" s="196" t="s">
        <v>381</v>
      </c>
      <c r="G25" s="197" t="s">
        <v>136</v>
      </c>
      <c r="H25" s="437">
        <f>'прил12(ведом 19)'!M374</f>
        <v>7.5</v>
      </c>
    </row>
    <row r="26" spans="1:8" ht="131.25">
      <c r="A26" s="423"/>
      <c r="B26" s="436" t="s">
        <v>390</v>
      </c>
      <c r="C26" s="194" t="s">
        <v>92</v>
      </c>
      <c r="D26" s="195" t="s">
        <v>98</v>
      </c>
      <c r="E26" s="195" t="s">
        <v>90</v>
      </c>
      <c r="F26" s="196" t="s">
        <v>391</v>
      </c>
      <c r="G26" s="197"/>
      <c r="H26" s="437">
        <f>SUM(H27:H28)</f>
        <v>9069.2000000000007</v>
      </c>
    </row>
    <row r="27" spans="1:8" ht="37.5">
      <c r="A27" s="423"/>
      <c r="B27" s="436" t="s">
        <v>108</v>
      </c>
      <c r="C27" s="194" t="s">
        <v>92</v>
      </c>
      <c r="D27" s="195" t="s">
        <v>98</v>
      </c>
      <c r="E27" s="195" t="s">
        <v>90</v>
      </c>
      <c r="F27" s="196" t="s">
        <v>391</v>
      </c>
      <c r="G27" s="197" t="s">
        <v>109</v>
      </c>
      <c r="H27" s="437">
        <f>'прил12(ведом 19)'!M503</f>
        <v>134</v>
      </c>
    </row>
    <row r="28" spans="1:8" ht="37.5">
      <c r="A28" s="423"/>
      <c r="B28" s="438" t="s">
        <v>183</v>
      </c>
      <c r="C28" s="194" t="s">
        <v>92</v>
      </c>
      <c r="D28" s="195" t="s">
        <v>98</v>
      </c>
      <c r="E28" s="195" t="s">
        <v>90</v>
      </c>
      <c r="F28" s="196" t="s">
        <v>391</v>
      </c>
      <c r="G28" s="197" t="s">
        <v>184</v>
      </c>
      <c r="H28" s="437">
        <f>'прил12(ведом 19)'!M504</f>
        <v>8935.2000000000007</v>
      </c>
    </row>
    <row r="29" spans="1:8" ht="18.75">
      <c r="A29" s="423"/>
      <c r="B29" s="436" t="s">
        <v>374</v>
      </c>
      <c r="C29" s="194" t="s">
        <v>92</v>
      </c>
      <c r="D29" s="195" t="s">
        <v>98</v>
      </c>
      <c r="E29" s="195" t="s">
        <v>90</v>
      </c>
      <c r="F29" s="196" t="s">
        <v>375</v>
      </c>
      <c r="G29" s="197"/>
      <c r="H29" s="437">
        <f>H30</f>
        <v>509.50000000000006</v>
      </c>
    </row>
    <row r="30" spans="1:8" ht="56.25">
      <c r="A30" s="423"/>
      <c r="B30" s="436" t="s">
        <v>135</v>
      </c>
      <c r="C30" s="194" t="s">
        <v>92</v>
      </c>
      <c r="D30" s="195" t="s">
        <v>98</v>
      </c>
      <c r="E30" s="195" t="s">
        <v>90</v>
      </c>
      <c r="F30" s="196" t="s">
        <v>375</v>
      </c>
      <c r="G30" s="197" t="s">
        <v>136</v>
      </c>
      <c r="H30" s="437">
        <f>'прил12(ведом 19)'!M376</f>
        <v>509.50000000000006</v>
      </c>
    </row>
    <row r="31" spans="1:8" ht="112.5">
      <c r="A31" s="423"/>
      <c r="B31" s="436" t="s">
        <v>503</v>
      </c>
      <c r="C31" s="194" t="s">
        <v>92</v>
      </c>
      <c r="D31" s="195" t="s">
        <v>98</v>
      </c>
      <c r="E31" s="195" t="s">
        <v>90</v>
      </c>
      <c r="F31" s="196" t="s">
        <v>376</v>
      </c>
      <c r="G31" s="197"/>
      <c r="H31" s="437">
        <f>H32</f>
        <v>206621.6</v>
      </c>
    </row>
    <row r="32" spans="1:8" ht="56.25">
      <c r="A32" s="423"/>
      <c r="B32" s="438" t="s">
        <v>135</v>
      </c>
      <c r="C32" s="194" t="s">
        <v>92</v>
      </c>
      <c r="D32" s="195" t="s">
        <v>98</v>
      </c>
      <c r="E32" s="195" t="s">
        <v>90</v>
      </c>
      <c r="F32" s="196" t="s">
        <v>376</v>
      </c>
      <c r="G32" s="197" t="s">
        <v>136</v>
      </c>
      <c r="H32" s="437">
        <f>'прил12(ведом 19)'!M378</f>
        <v>206621.6</v>
      </c>
    </row>
    <row r="33" spans="1:8" ht="37.5">
      <c r="A33" s="423"/>
      <c r="B33" s="791" t="s">
        <v>897</v>
      </c>
      <c r="C33" s="787" t="s">
        <v>92</v>
      </c>
      <c r="D33" s="788" t="s">
        <v>98</v>
      </c>
      <c r="E33" s="788" t="s">
        <v>90</v>
      </c>
      <c r="F33" s="789" t="s">
        <v>896</v>
      </c>
      <c r="G33" s="746"/>
      <c r="H33" s="437">
        <f>H34</f>
        <v>3</v>
      </c>
    </row>
    <row r="34" spans="1:8" ht="56.25">
      <c r="A34" s="423"/>
      <c r="B34" s="791" t="s">
        <v>135</v>
      </c>
      <c r="C34" s="787" t="s">
        <v>92</v>
      </c>
      <c r="D34" s="788" t="s">
        <v>98</v>
      </c>
      <c r="E34" s="788" t="s">
        <v>90</v>
      </c>
      <c r="F34" s="789" t="s">
        <v>896</v>
      </c>
      <c r="G34" s="746" t="s">
        <v>136</v>
      </c>
      <c r="H34" s="437">
        <f>'прил12(ведом 19)'!M380</f>
        <v>3</v>
      </c>
    </row>
    <row r="35" spans="1:8" ht="56.25">
      <c r="A35" s="423"/>
      <c r="B35" s="767" t="s">
        <v>899</v>
      </c>
      <c r="C35" s="744" t="s">
        <v>92</v>
      </c>
      <c r="D35" s="745" t="s">
        <v>98</v>
      </c>
      <c r="E35" s="745" t="s">
        <v>90</v>
      </c>
      <c r="F35" s="768" t="s">
        <v>890</v>
      </c>
      <c r="G35" s="746"/>
      <c r="H35" s="747">
        <f>H36</f>
        <v>1100</v>
      </c>
    </row>
    <row r="36" spans="1:8" ht="56.25">
      <c r="A36" s="423"/>
      <c r="B36" s="767" t="s">
        <v>135</v>
      </c>
      <c r="C36" s="744" t="s">
        <v>92</v>
      </c>
      <c r="D36" s="745" t="s">
        <v>98</v>
      </c>
      <c r="E36" s="745" t="s">
        <v>90</v>
      </c>
      <c r="F36" s="768" t="s">
        <v>890</v>
      </c>
      <c r="G36" s="746" t="s">
        <v>136</v>
      </c>
      <c r="H36" s="747">
        <f>'прил12(ведом 19)'!M382</f>
        <v>1100</v>
      </c>
    </row>
    <row r="37" spans="1:8" ht="18.75">
      <c r="A37" s="423"/>
      <c r="B37" s="751" t="s">
        <v>378</v>
      </c>
      <c r="C37" s="752" t="s">
        <v>92</v>
      </c>
      <c r="D37" s="753" t="s">
        <v>98</v>
      </c>
      <c r="E37" s="753" t="s">
        <v>92</v>
      </c>
      <c r="F37" s="755" t="s">
        <v>97</v>
      </c>
      <c r="G37" s="754"/>
      <c r="H37" s="715">
        <f>H46+H49+H56+H60+H64+H38+H54+H43+H71+H69+H67</f>
        <v>497852.03899999999</v>
      </c>
    </row>
    <row r="38" spans="1:8" ht="75">
      <c r="A38" s="423"/>
      <c r="B38" s="436" t="s">
        <v>151</v>
      </c>
      <c r="C38" s="194" t="s">
        <v>92</v>
      </c>
      <c r="D38" s="195" t="s">
        <v>98</v>
      </c>
      <c r="E38" s="195" t="s">
        <v>92</v>
      </c>
      <c r="F38" s="196" t="s">
        <v>153</v>
      </c>
      <c r="G38" s="197"/>
      <c r="H38" s="437">
        <f>SUM(H39:H42)</f>
        <v>73103.401560000028</v>
      </c>
    </row>
    <row r="39" spans="1:8" ht="93.75">
      <c r="A39" s="423"/>
      <c r="B39" s="397" t="s">
        <v>102</v>
      </c>
      <c r="C39" s="194" t="s">
        <v>92</v>
      </c>
      <c r="D39" s="195" t="s">
        <v>98</v>
      </c>
      <c r="E39" s="195" t="s">
        <v>92</v>
      </c>
      <c r="F39" s="196" t="s">
        <v>153</v>
      </c>
      <c r="G39" s="197" t="s">
        <v>103</v>
      </c>
      <c r="H39" s="437">
        <f>'прил12(ведом 19)'!M393</f>
        <v>3601.6</v>
      </c>
    </row>
    <row r="40" spans="1:8" ht="37.5">
      <c r="A40" s="423"/>
      <c r="B40" s="397" t="s">
        <v>108</v>
      </c>
      <c r="C40" s="194" t="s">
        <v>92</v>
      </c>
      <c r="D40" s="195" t="s">
        <v>98</v>
      </c>
      <c r="E40" s="195" t="s">
        <v>92</v>
      </c>
      <c r="F40" s="196" t="s">
        <v>153</v>
      </c>
      <c r="G40" s="197" t="s">
        <v>109</v>
      </c>
      <c r="H40" s="437">
        <f>'прил12(ведом 19)'!M394</f>
        <v>3814.20156</v>
      </c>
    </row>
    <row r="41" spans="1:8" ht="56.25">
      <c r="A41" s="423"/>
      <c r="B41" s="436" t="s">
        <v>135</v>
      </c>
      <c r="C41" s="194" t="s">
        <v>92</v>
      </c>
      <c r="D41" s="195" t="s">
        <v>98</v>
      </c>
      <c r="E41" s="195" t="s">
        <v>92</v>
      </c>
      <c r="F41" s="196" t="s">
        <v>153</v>
      </c>
      <c r="G41" s="197" t="s">
        <v>136</v>
      </c>
      <c r="H41" s="437">
        <f>'прил12(ведом 19)'!M395</f>
        <v>64952.000000000015</v>
      </c>
    </row>
    <row r="42" spans="1:8" ht="18.75">
      <c r="A42" s="423"/>
      <c r="B42" s="436" t="s">
        <v>110</v>
      </c>
      <c r="C42" s="194" t="s">
        <v>92</v>
      </c>
      <c r="D42" s="195" t="s">
        <v>98</v>
      </c>
      <c r="E42" s="195" t="s">
        <v>92</v>
      </c>
      <c r="F42" s="196" t="s">
        <v>153</v>
      </c>
      <c r="G42" s="197" t="s">
        <v>111</v>
      </c>
      <c r="H42" s="437">
        <f>'прил12(ведом 19)'!M396</f>
        <v>735.6</v>
      </c>
    </row>
    <row r="43" spans="1:8" ht="37.5">
      <c r="A43" s="423"/>
      <c r="B43" s="397" t="s">
        <v>619</v>
      </c>
      <c r="C43" s="194" t="s">
        <v>92</v>
      </c>
      <c r="D43" s="195" t="s">
        <v>98</v>
      </c>
      <c r="E43" s="195" t="s">
        <v>92</v>
      </c>
      <c r="F43" s="196" t="s">
        <v>618</v>
      </c>
      <c r="G43" s="197"/>
      <c r="H43" s="437">
        <f>H45+H44</f>
        <v>294.50000000000006</v>
      </c>
    </row>
    <row r="44" spans="1:8" ht="37.5">
      <c r="A44" s="423"/>
      <c r="B44" s="397" t="s">
        <v>108</v>
      </c>
      <c r="C44" s="194" t="s">
        <v>92</v>
      </c>
      <c r="D44" s="195" t="s">
        <v>98</v>
      </c>
      <c r="E44" s="195" t="s">
        <v>92</v>
      </c>
      <c r="F44" s="196" t="s">
        <v>618</v>
      </c>
      <c r="G44" s="197" t="s">
        <v>109</v>
      </c>
      <c r="H44" s="437">
        <f>'прил12(ведом 19)'!M398</f>
        <v>34.9</v>
      </c>
    </row>
    <row r="45" spans="1:8" ht="56.25">
      <c r="A45" s="423"/>
      <c r="B45" s="436" t="s">
        <v>135</v>
      </c>
      <c r="C45" s="194" t="s">
        <v>92</v>
      </c>
      <c r="D45" s="195" t="s">
        <v>98</v>
      </c>
      <c r="E45" s="195" t="s">
        <v>92</v>
      </c>
      <c r="F45" s="196" t="s">
        <v>618</v>
      </c>
      <c r="G45" s="197" t="s">
        <v>136</v>
      </c>
      <c r="H45" s="437">
        <f>'прил12(ведом 19)'!M399</f>
        <v>259.60000000000008</v>
      </c>
    </row>
    <row r="46" spans="1:8" ht="37.5">
      <c r="A46" s="423"/>
      <c r="B46" s="436" t="s">
        <v>286</v>
      </c>
      <c r="C46" s="194" t="s">
        <v>92</v>
      </c>
      <c r="D46" s="195" t="s">
        <v>98</v>
      </c>
      <c r="E46" s="195" t="s">
        <v>92</v>
      </c>
      <c r="F46" s="196" t="s">
        <v>379</v>
      </c>
      <c r="G46" s="197"/>
      <c r="H46" s="437">
        <f>SUM(H47:H48)</f>
        <v>9087.7389999999996</v>
      </c>
    </row>
    <row r="47" spans="1:8" ht="37.5">
      <c r="A47" s="423"/>
      <c r="B47" s="397" t="s">
        <v>108</v>
      </c>
      <c r="C47" s="194" t="s">
        <v>92</v>
      </c>
      <c r="D47" s="195" t="s">
        <v>98</v>
      </c>
      <c r="E47" s="195" t="s">
        <v>92</v>
      </c>
      <c r="F47" s="196" t="s">
        <v>379</v>
      </c>
      <c r="G47" s="197" t="s">
        <v>109</v>
      </c>
      <c r="H47" s="437">
        <f>'прил12(ведом 19)'!M401</f>
        <v>927.69999999999993</v>
      </c>
    </row>
    <row r="48" spans="1:8" ht="56.25">
      <c r="A48" s="423"/>
      <c r="B48" s="436" t="s">
        <v>135</v>
      </c>
      <c r="C48" s="194" t="s">
        <v>92</v>
      </c>
      <c r="D48" s="195" t="s">
        <v>98</v>
      </c>
      <c r="E48" s="195" t="s">
        <v>92</v>
      </c>
      <c r="F48" s="196" t="s">
        <v>379</v>
      </c>
      <c r="G48" s="197" t="s">
        <v>136</v>
      </c>
      <c r="H48" s="437">
        <f>'прил12(ведом 19)'!M402</f>
        <v>8160.0389999999998</v>
      </c>
    </row>
    <row r="49" spans="1:8" ht="37.5">
      <c r="A49" s="423"/>
      <c r="B49" s="436" t="s">
        <v>287</v>
      </c>
      <c r="C49" s="194" t="s">
        <v>92</v>
      </c>
      <c r="D49" s="195" t="s">
        <v>98</v>
      </c>
      <c r="E49" s="195" t="s">
        <v>92</v>
      </c>
      <c r="F49" s="196" t="s">
        <v>380</v>
      </c>
      <c r="G49" s="197"/>
      <c r="H49" s="437">
        <f>SUM(H50:H53)</f>
        <v>17218.498439999999</v>
      </c>
    </row>
    <row r="50" spans="1:8" ht="37.5">
      <c r="A50" s="423"/>
      <c r="B50" s="397" t="s">
        <v>108</v>
      </c>
      <c r="C50" s="194" t="s">
        <v>92</v>
      </c>
      <c r="D50" s="195" t="s">
        <v>98</v>
      </c>
      <c r="E50" s="195" t="s">
        <v>92</v>
      </c>
      <c r="F50" s="196" t="s">
        <v>380</v>
      </c>
      <c r="G50" s="197" t="s">
        <v>109</v>
      </c>
      <c r="H50" s="437">
        <f>'прил12(ведом 19)'!M404</f>
        <v>278.5</v>
      </c>
    </row>
    <row r="51" spans="1:8" ht="37.5">
      <c r="A51" s="423"/>
      <c r="B51" s="397" t="s">
        <v>183</v>
      </c>
      <c r="C51" s="194" t="s">
        <v>92</v>
      </c>
      <c r="D51" s="195" t="s">
        <v>98</v>
      </c>
      <c r="E51" s="195" t="s">
        <v>92</v>
      </c>
      <c r="F51" s="196" t="s">
        <v>380</v>
      </c>
      <c r="G51" s="197" t="s">
        <v>184</v>
      </c>
      <c r="H51" s="437">
        <f>'прил12(ведом 19)'!M405</f>
        <v>354.99844000000002</v>
      </c>
    </row>
    <row r="52" spans="1:8" ht="37.5">
      <c r="A52" s="423"/>
      <c r="B52" s="408" t="s">
        <v>282</v>
      </c>
      <c r="C52" s="194" t="s">
        <v>92</v>
      </c>
      <c r="D52" s="195" t="s">
        <v>98</v>
      </c>
      <c r="E52" s="195" t="s">
        <v>92</v>
      </c>
      <c r="F52" s="196" t="s">
        <v>380</v>
      </c>
      <c r="G52" s="197" t="s">
        <v>283</v>
      </c>
      <c r="H52" s="437">
        <f>'прил12(ведом 19)'!M406+'прил12(ведом 19)'!M334</f>
        <v>8341.2000000000007</v>
      </c>
    </row>
    <row r="53" spans="1:8" ht="56.25">
      <c r="A53" s="423"/>
      <c r="B53" s="436" t="s">
        <v>135</v>
      </c>
      <c r="C53" s="194" t="s">
        <v>92</v>
      </c>
      <c r="D53" s="195" t="s">
        <v>98</v>
      </c>
      <c r="E53" s="195" t="s">
        <v>92</v>
      </c>
      <c r="F53" s="196" t="s">
        <v>380</v>
      </c>
      <c r="G53" s="197" t="s">
        <v>136</v>
      </c>
      <c r="H53" s="437">
        <f>'прил12(ведом 19)'!M407</f>
        <v>8243.7999999999993</v>
      </c>
    </row>
    <row r="54" spans="1:8" ht="56.25">
      <c r="A54" s="423"/>
      <c r="B54" s="397" t="s">
        <v>288</v>
      </c>
      <c r="C54" s="194" t="s">
        <v>92</v>
      </c>
      <c r="D54" s="195" t="s">
        <v>98</v>
      </c>
      <c r="E54" s="195" t="s">
        <v>92</v>
      </c>
      <c r="F54" s="196" t="s">
        <v>381</v>
      </c>
      <c r="G54" s="197"/>
      <c r="H54" s="437">
        <f>H55</f>
        <v>15</v>
      </c>
    </row>
    <row r="55" spans="1:8" ht="56.25">
      <c r="A55" s="423"/>
      <c r="B55" s="397" t="s">
        <v>135</v>
      </c>
      <c r="C55" s="194" t="s">
        <v>92</v>
      </c>
      <c r="D55" s="195" t="s">
        <v>98</v>
      </c>
      <c r="E55" s="195" t="s">
        <v>92</v>
      </c>
      <c r="F55" s="196" t="s">
        <v>381</v>
      </c>
      <c r="G55" s="197" t="s">
        <v>136</v>
      </c>
      <c r="H55" s="437">
        <f>'прил12(ведом 19)'!M409</f>
        <v>15</v>
      </c>
    </row>
    <row r="56" spans="1:8" ht="18.75">
      <c r="A56" s="423"/>
      <c r="B56" s="436" t="s">
        <v>374</v>
      </c>
      <c r="C56" s="194" t="s">
        <v>92</v>
      </c>
      <c r="D56" s="195" t="s">
        <v>98</v>
      </c>
      <c r="E56" s="195" t="s">
        <v>92</v>
      </c>
      <c r="F56" s="196" t="s">
        <v>375</v>
      </c>
      <c r="G56" s="197"/>
      <c r="H56" s="437">
        <f>SUM(H57:H59)</f>
        <v>1759.8999999999999</v>
      </c>
    </row>
    <row r="57" spans="1:8" ht="93.75">
      <c r="A57" s="423"/>
      <c r="B57" s="397" t="s">
        <v>102</v>
      </c>
      <c r="C57" s="194" t="s">
        <v>92</v>
      </c>
      <c r="D57" s="195" t="s">
        <v>98</v>
      </c>
      <c r="E57" s="195" t="s">
        <v>92</v>
      </c>
      <c r="F57" s="196" t="s">
        <v>375</v>
      </c>
      <c r="G57" s="197" t="s">
        <v>103</v>
      </c>
      <c r="H57" s="437">
        <f>'прил12(ведом 19)'!M411</f>
        <v>138.30000000000001</v>
      </c>
    </row>
    <row r="58" spans="1:8" ht="37.5">
      <c r="A58" s="423"/>
      <c r="B58" s="397" t="s">
        <v>183</v>
      </c>
      <c r="C58" s="194" t="s">
        <v>92</v>
      </c>
      <c r="D58" s="195" t="s">
        <v>98</v>
      </c>
      <c r="E58" s="195" t="s">
        <v>92</v>
      </c>
      <c r="F58" s="196" t="s">
        <v>375</v>
      </c>
      <c r="G58" s="197" t="s">
        <v>184</v>
      </c>
      <c r="H58" s="437">
        <f>'прил12(ведом 19)'!M412</f>
        <v>14</v>
      </c>
    </row>
    <row r="59" spans="1:8" ht="56.25">
      <c r="A59" s="423"/>
      <c r="B59" s="436" t="s">
        <v>135</v>
      </c>
      <c r="C59" s="194" t="s">
        <v>92</v>
      </c>
      <c r="D59" s="195" t="s">
        <v>98</v>
      </c>
      <c r="E59" s="195" t="s">
        <v>92</v>
      </c>
      <c r="F59" s="196" t="s">
        <v>375</v>
      </c>
      <c r="G59" s="197" t="s">
        <v>136</v>
      </c>
      <c r="H59" s="437">
        <f>'прил12(ведом 19)'!M413</f>
        <v>1607.6</v>
      </c>
    </row>
    <row r="60" spans="1:8" ht="112.5">
      <c r="A60" s="423"/>
      <c r="B60" s="436" t="s">
        <v>503</v>
      </c>
      <c r="C60" s="194" t="s">
        <v>92</v>
      </c>
      <c r="D60" s="195" t="s">
        <v>98</v>
      </c>
      <c r="E60" s="195" t="s">
        <v>92</v>
      </c>
      <c r="F60" s="196" t="s">
        <v>376</v>
      </c>
      <c r="G60" s="197"/>
      <c r="H60" s="437">
        <f>SUM(H61:H63)</f>
        <v>386302.99999999994</v>
      </c>
    </row>
    <row r="61" spans="1:8" ht="93.75">
      <c r="A61" s="423"/>
      <c r="B61" s="436" t="s">
        <v>102</v>
      </c>
      <c r="C61" s="194" t="s">
        <v>92</v>
      </c>
      <c r="D61" s="195" t="s">
        <v>98</v>
      </c>
      <c r="E61" s="195" t="s">
        <v>92</v>
      </c>
      <c r="F61" s="196" t="s">
        <v>376</v>
      </c>
      <c r="G61" s="197" t="s">
        <v>103</v>
      </c>
      <c r="H61" s="437">
        <f>'прил12(ведом 19)'!M415</f>
        <v>30288.5</v>
      </c>
    </row>
    <row r="62" spans="1:8" ht="37.5">
      <c r="A62" s="423"/>
      <c r="B62" s="436" t="s">
        <v>108</v>
      </c>
      <c r="C62" s="194" t="s">
        <v>92</v>
      </c>
      <c r="D62" s="195" t="s">
        <v>98</v>
      </c>
      <c r="E62" s="195" t="s">
        <v>92</v>
      </c>
      <c r="F62" s="196" t="s">
        <v>376</v>
      </c>
      <c r="G62" s="197" t="s">
        <v>109</v>
      </c>
      <c r="H62" s="437">
        <f>'прил12(ведом 19)'!M416</f>
        <v>2701.8</v>
      </c>
    </row>
    <row r="63" spans="1:8" ht="56.25">
      <c r="A63" s="423"/>
      <c r="B63" s="436" t="s">
        <v>135</v>
      </c>
      <c r="C63" s="194" t="s">
        <v>92</v>
      </c>
      <c r="D63" s="195" t="s">
        <v>98</v>
      </c>
      <c r="E63" s="195" t="s">
        <v>92</v>
      </c>
      <c r="F63" s="196" t="s">
        <v>376</v>
      </c>
      <c r="G63" s="197" t="s">
        <v>136</v>
      </c>
      <c r="H63" s="437">
        <f>'прил12(ведом 19)'!M417</f>
        <v>353312.69999999995</v>
      </c>
    </row>
    <row r="64" spans="1:8" ht="75">
      <c r="A64" s="423"/>
      <c r="B64" s="436" t="s">
        <v>289</v>
      </c>
      <c r="C64" s="553" t="s">
        <v>92</v>
      </c>
      <c r="D64" s="553" t="s">
        <v>98</v>
      </c>
      <c r="E64" s="553" t="s">
        <v>92</v>
      </c>
      <c r="F64" s="554" t="s">
        <v>382</v>
      </c>
      <c r="G64" s="422"/>
      <c r="H64" s="437">
        <f>SUM(H65:H66)</f>
        <v>4085.7</v>
      </c>
    </row>
    <row r="65" spans="1:8" ht="37.5">
      <c r="A65" s="423"/>
      <c r="B65" s="397" t="s">
        <v>108</v>
      </c>
      <c r="C65" s="194" t="s">
        <v>92</v>
      </c>
      <c r="D65" s="195" t="s">
        <v>98</v>
      </c>
      <c r="E65" s="195" t="s">
        <v>92</v>
      </c>
      <c r="F65" s="196" t="s">
        <v>382</v>
      </c>
      <c r="G65" s="197" t="s">
        <v>109</v>
      </c>
      <c r="H65" s="437">
        <f>'прил12(ведом 19)'!M419</f>
        <v>191.5</v>
      </c>
    </row>
    <row r="66" spans="1:8" ht="56.25">
      <c r="A66" s="423"/>
      <c r="B66" s="436" t="s">
        <v>135</v>
      </c>
      <c r="C66" s="553" t="s">
        <v>92</v>
      </c>
      <c r="D66" s="553" t="s">
        <v>98</v>
      </c>
      <c r="E66" s="553" t="s">
        <v>92</v>
      </c>
      <c r="F66" s="554" t="s">
        <v>382</v>
      </c>
      <c r="G66" s="422" t="s">
        <v>136</v>
      </c>
      <c r="H66" s="437">
        <f>'прил12(ведом 19)'!M420</f>
        <v>3894.2</v>
      </c>
    </row>
    <row r="67" spans="1:8" ht="37.5">
      <c r="A67" s="423"/>
      <c r="B67" s="791" t="s">
        <v>897</v>
      </c>
      <c r="C67" s="787" t="s">
        <v>92</v>
      </c>
      <c r="D67" s="788" t="s">
        <v>98</v>
      </c>
      <c r="E67" s="788" t="s">
        <v>92</v>
      </c>
      <c r="F67" s="789" t="s">
        <v>896</v>
      </c>
      <c r="G67" s="786"/>
      <c r="H67" s="747">
        <f>H68</f>
        <v>4</v>
      </c>
    </row>
    <row r="68" spans="1:8" ht="56.25">
      <c r="A68" s="423"/>
      <c r="B68" s="791" t="s">
        <v>135</v>
      </c>
      <c r="C68" s="787" t="s">
        <v>92</v>
      </c>
      <c r="D68" s="788" t="s">
        <v>98</v>
      </c>
      <c r="E68" s="788" t="s">
        <v>92</v>
      </c>
      <c r="F68" s="789" t="s">
        <v>896</v>
      </c>
      <c r="G68" s="786" t="s">
        <v>136</v>
      </c>
      <c r="H68" s="747">
        <f>'прил12(ведом 19)'!M422</f>
        <v>4</v>
      </c>
    </row>
    <row r="69" spans="1:8" ht="56.25">
      <c r="A69" s="423"/>
      <c r="B69" s="748" t="s">
        <v>899</v>
      </c>
      <c r="C69" s="756" t="s">
        <v>92</v>
      </c>
      <c r="D69" s="756" t="s">
        <v>98</v>
      </c>
      <c r="E69" s="756" t="s">
        <v>92</v>
      </c>
      <c r="F69" s="757" t="s">
        <v>890</v>
      </c>
      <c r="G69" s="758"/>
      <c r="H69" s="747">
        <f>H70</f>
        <v>2000</v>
      </c>
    </row>
    <row r="70" spans="1:8" ht="56.25">
      <c r="A70" s="423"/>
      <c r="B70" s="748" t="s">
        <v>135</v>
      </c>
      <c r="C70" s="756" t="s">
        <v>92</v>
      </c>
      <c r="D70" s="756" t="s">
        <v>98</v>
      </c>
      <c r="E70" s="756" t="s">
        <v>92</v>
      </c>
      <c r="F70" s="757" t="s">
        <v>890</v>
      </c>
      <c r="G70" s="758" t="s">
        <v>136</v>
      </c>
      <c r="H70" s="747">
        <f>'прил12(ведом 19)'!M424</f>
        <v>2000</v>
      </c>
    </row>
    <row r="71" spans="1:8" ht="56.25">
      <c r="A71" s="423"/>
      <c r="B71" s="748" t="s">
        <v>844</v>
      </c>
      <c r="C71" s="756" t="s">
        <v>92</v>
      </c>
      <c r="D71" s="756" t="s">
        <v>98</v>
      </c>
      <c r="E71" s="756" t="s">
        <v>92</v>
      </c>
      <c r="F71" s="757" t="s">
        <v>843</v>
      </c>
      <c r="G71" s="758"/>
      <c r="H71" s="747">
        <f>H72+H73</f>
        <v>3980.3</v>
      </c>
    </row>
    <row r="72" spans="1:8" ht="37.5">
      <c r="A72" s="423"/>
      <c r="B72" s="748" t="s">
        <v>108</v>
      </c>
      <c r="C72" s="756" t="s">
        <v>92</v>
      </c>
      <c r="D72" s="756" t="s">
        <v>98</v>
      </c>
      <c r="E72" s="756" t="s">
        <v>92</v>
      </c>
      <c r="F72" s="757" t="s">
        <v>843</v>
      </c>
      <c r="G72" s="758" t="s">
        <v>109</v>
      </c>
      <c r="H72" s="747">
        <f>'прил12(ведом 19)'!M426</f>
        <v>2237.6999999999998</v>
      </c>
    </row>
    <row r="73" spans="1:8" ht="56.25">
      <c r="A73" s="423"/>
      <c r="B73" s="748" t="s">
        <v>135</v>
      </c>
      <c r="C73" s="756" t="s">
        <v>92</v>
      </c>
      <c r="D73" s="756" t="s">
        <v>98</v>
      </c>
      <c r="E73" s="756" t="s">
        <v>92</v>
      </c>
      <c r="F73" s="757" t="s">
        <v>843</v>
      </c>
      <c r="G73" s="758" t="s">
        <v>136</v>
      </c>
      <c r="H73" s="747">
        <f>'прил12(ведом 19)'!M427</f>
        <v>1742.6000000000001</v>
      </c>
    </row>
    <row r="74" spans="1:8" ht="18.75">
      <c r="A74" s="423"/>
      <c r="B74" s="436" t="s">
        <v>842</v>
      </c>
      <c r="C74" s="556" t="s">
        <v>92</v>
      </c>
      <c r="D74" s="557" t="s">
        <v>98</v>
      </c>
      <c r="E74" s="557" t="s">
        <v>839</v>
      </c>
      <c r="F74" s="558" t="s">
        <v>97</v>
      </c>
      <c r="G74" s="422"/>
      <c r="H74" s="437">
        <f>H75+H77</f>
        <v>16387.600000000002</v>
      </c>
    </row>
    <row r="75" spans="1:8" ht="56.25">
      <c r="A75" s="423"/>
      <c r="B75" s="436" t="s">
        <v>841</v>
      </c>
      <c r="C75" s="556" t="s">
        <v>92</v>
      </c>
      <c r="D75" s="557" t="s">
        <v>98</v>
      </c>
      <c r="E75" s="557" t="s">
        <v>839</v>
      </c>
      <c r="F75" s="558" t="s">
        <v>840</v>
      </c>
      <c r="G75" s="422"/>
      <c r="H75" s="437">
        <f>H76</f>
        <v>6603.2</v>
      </c>
    </row>
    <row r="76" spans="1:8" ht="56.25">
      <c r="A76" s="423"/>
      <c r="B76" s="436" t="s">
        <v>135</v>
      </c>
      <c r="C76" s="553" t="s">
        <v>92</v>
      </c>
      <c r="D76" s="553" t="s">
        <v>98</v>
      </c>
      <c r="E76" s="553" t="s">
        <v>839</v>
      </c>
      <c r="F76" s="554" t="s">
        <v>840</v>
      </c>
      <c r="G76" s="422" t="s">
        <v>136</v>
      </c>
      <c r="H76" s="437">
        <f>'прил12(ведом 19)'!M430</f>
        <v>6603.2</v>
      </c>
    </row>
    <row r="77" spans="1:8" ht="56.25">
      <c r="A77" s="423"/>
      <c r="B77" s="791" t="s">
        <v>841</v>
      </c>
      <c r="C77" s="787" t="s">
        <v>92</v>
      </c>
      <c r="D77" s="788" t="s">
        <v>98</v>
      </c>
      <c r="E77" s="788" t="s">
        <v>839</v>
      </c>
      <c r="F77" s="789" t="s">
        <v>898</v>
      </c>
      <c r="G77" s="786"/>
      <c r="H77" s="437">
        <f>H78</f>
        <v>9784.4000000000015</v>
      </c>
    </row>
    <row r="78" spans="1:8" ht="56.25">
      <c r="A78" s="423"/>
      <c r="B78" s="791" t="s">
        <v>135</v>
      </c>
      <c r="C78" s="787" t="s">
        <v>92</v>
      </c>
      <c r="D78" s="788" t="s">
        <v>98</v>
      </c>
      <c r="E78" s="788" t="s">
        <v>839</v>
      </c>
      <c r="F78" s="789" t="s">
        <v>898</v>
      </c>
      <c r="G78" s="786" t="s">
        <v>136</v>
      </c>
      <c r="H78" s="437">
        <f>'прил12(ведом 19)'!M432</f>
        <v>9784.4000000000015</v>
      </c>
    </row>
    <row r="79" spans="1:8" ht="18.75">
      <c r="A79" s="423"/>
      <c r="B79" s="436" t="s">
        <v>290</v>
      </c>
      <c r="C79" s="194" t="s">
        <v>92</v>
      </c>
      <c r="D79" s="195" t="s">
        <v>150</v>
      </c>
      <c r="E79" s="195" t="s">
        <v>96</v>
      </c>
      <c r="F79" s="196" t="s">
        <v>97</v>
      </c>
      <c r="G79" s="422"/>
      <c r="H79" s="437">
        <f>H80+H107</f>
        <v>54563.388460000002</v>
      </c>
    </row>
    <row r="80" spans="1:8" ht="37.5">
      <c r="A80" s="423"/>
      <c r="B80" s="436" t="s">
        <v>383</v>
      </c>
      <c r="C80" s="194" t="s">
        <v>92</v>
      </c>
      <c r="D80" s="195" t="s">
        <v>150</v>
      </c>
      <c r="E80" s="195" t="s">
        <v>90</v>
      </c>
      <c r="F80" s="196" t="s">
        <v>97</v>
      </c>
      <c r="G80" s="422"/>
      <c r="H80" s="437">
        <f>H81+H86+H88+H91+H93+H95+H97+H99+H105+H103+H101</f>
        <v>54554.388460000002</v>
      </c>
    </row>
    <row r="81" spans="1:8" ht="75">
      <c r="A81" s="423"/>
      <c r="B81" s="436" t="s">
        <v>151</v>
      </c>
      <c r="C81" s="194" t="s">
        <v>92</v>
      </c>
      <c r="D81" s="195" t="s">
        <v>150</v>
      </c>
      <c r="E81" s="195" t="s">
        <v>90</v>
      </c>
      <c r="F81" s="196" t="s">
        <v>153</v>
      </c>
      <c r="G81" s="197"/>
      <c r="H81" s="437">
        <f>SUM(H82:H85)</f>
        <v>45265.703460000004</v>
      </c>
    </row>
    <row r="82" spans="1:8" ht="93.75">
      <c r="A82" s="423"/>
      <c r="B82" s="397" t="s">
        <v>102</v>
      </c>
      <c r="C82" s="194" t="s">
        <v>92</v>
      </c>
      <c r="D82" s="195" t="s">
        <v>150</v>
      </c>
      <c r="E82" s="195" t="s">
        <v>90</v>
      </c>
      <c r="F82" s="196" t="s">
        <v>153</v>
      </c>
      <c r="G82" s="197" t="s">
        <v>103</v>
      </c>
      <c r="H82" s="437">
        <f>'прил12(ведом 19)'!M443</f>
        <v>24442</v>
      </c>
    </row>
    <row r="83" spans="1:8" ht="37.5">
      <c r="A83" s="423"/>
      <c r="B83" s="397" t="s">
        <v>108</v>
      </c>
      <c r="C83" s="194" t="s">
        <v>92</v>
      </c>
      <c r="D83" s="195" t="s">
        <v>150</v>
      </c>
      <c r="E83" s="195" t="s">
        <v>90</v>
      </c>
      <c r="F83" s="196" t="s">
        <v>153</v>
      </c>
      <c r="G83" s="197" t="s">
        <v>109</v>
      </c>
      <c r="H83" s="437">
        <f>'прил12(ведом 19)'!M444</f>
        <v>1883.0534600000001</v>
      </c>
    </row>
    <row r="84" spans="1:8" ht="56.25">
      <c r="A84" s="423"/>
      <c r="B84" s="436" t="s">
        <v>135</v>
      </c>
      <c r="C84" s="194" t="s">
        <v>92</v>
      </c>
      <c r="D84" s="195" t="s">
        <v>150</v>
      </c>
      <c r="E84" s="195" t="s">
        <v>90</v>
      </c>
      <c r="F84" s="196" t="s">
        <v>153</v>
      </c>
      <c r="G84" s="197" t="s">
        <v>136</v>
      </c>
      <c r="H84" s="437">
        <f>'прил12(ведом 19)'!M445</f>
        <v>18860.099999999999</v>
      </c>
    </row>
    <row r="85" spans="1:8" ht="18.75">
      <c r="A85" s="423"/>
      <c r="B85" s="397" t="s">
        <v>110</v>
      </c>
      <c r="C85" s="194" t="s">
        <v>92</v>
      </c>
      <c r="D85" s="195" t="s">
        <v>150</v>
      </c>
      <c r="E85" s="195" t="s">
        <v>90</v>
      </c>
      <c r="F85" s="196" t="s">
        <v>153</v>
      </c>
      <c r="G85" s="197" t="s">
        <v>111</v>
      </c>
      <c r="H85" s="437">
        <f>'прил12(ведом 19)'!M446</f>
        <v>80.55</v>
      </c>
    </row>
    <row r="86" spans="1:8" ht="37.5">
      <c r="A86" s="423"/>
      <c r="B86" s="397" t="s">
        <v>619</v>
      </c>
      <c r="C86" s="194" t="s">
        <v>92</v>
      </c>
      <c r="D86" s="195" t="s">
        <v>150</v>
      </c>
      <c r="E86" s="195" t="s">
        <v>90</v>
      </c>
      <c r="F86" s="196" t="s">
        <v>618</v>
      </c>
      <c r="G86" s="197"/>
      <c r="H86" s="437">
        <f>H87</f>
        <v>1866.1000000000001</v>
      </c>
    </row>
    <row r="87" spans="1:8" ht="37.5">
      <c r="A87" s="423"/>
      <c r="B87" s="397" t="s">
        <v>108</v>
      </c>
      <c r="C87" s="194" t="s">
        <v>92</v>
      </c>
      <c r="D87" s="195" t="s">
        <v>150</v>
      </c>
      <c r="E87" s="195" t="s">
        <v>90</v>
      </c>
      <c r="F87" s="196" t="s">
        <v>618</v>
      </c>
      <c r="G87" s="197" t="s">
        <v>109</v>
      </c>
      <c r="H87" s="437">
        <f>'прил12(ведом 19)'!M448</f>
        <v>1866.1000000000001</v>
      </c>
    </row>
    <row r="88" spans="1:8" ht="37.5">
      <c r="A88" s="423"/>
      <c r="B88" s="397" t="s">
        <v>286</v>
      </c>
      <c r="C88" s="194" t="s">
        <v>92</v>
      </c>
      <c r="D88" s="195" t="s">
        <v>150</v>
      </c>
      <c r="E88" s="195" t="s">
        <v>90</v>
      </c>
      <c r="F88" s="196" t="s">
        <v>379</v>
      </c>
      <c r="G88" s="197"/>
      <c r="H88" s="437">
        <f>SUM(H89:H90)</f>
        <v>981.9849999999999</v>
      </c>
    </row>
    <row r="89" spans="1:8" ht="37.5">
      <c r="A89" s="423"/>
      <c r="B89" s="397" t="s">
        <v>108</v>
      </c>
      <c r="C89" s="194" t="s">
        <v>92</v>
      </c>
      <c r="D89" s="195" t="s">
        <v>150</v>
      </c>
      <c r="E89" s="195" t="s">
        <v>90</v>
      </c>
      <c r="F89" s="196" t="s">
        <v>379</v>
      </c>
      <c r="G89" s="197" t="s">
        <v>109</v>
      </c>
      <c r="H89" s="437">
        <f>'прил12(ведом 19)'!M450</f>
        <v>525.48699999999985</v>
      </c>
    </row>
    <row r="90" spans="1:8" ht="56.25">
      <c r="A90" s="423"/>
      <c r="B90" s="439" t="s">
        <v>135</v>
      </c>
      <c r="C90" s="194" t="s">
        <v>92</v>
      </c>
      <c r="D90" s="195" t="s">
        <v>150</v>
      </c>
      <c r="E90" s="195" t="s">
        <v>90</v>
      </c>
      <c r="F90" s="196" t="s">
        <v>379</v>
      </c>
      <c r="G90" s="197" t="s">
        <v>136</v>
      </c>
      <c r="H90" s="437">
        <f>'прил12(ведом 19)'!M451</f>
        <v>456.49800000000005</v>
      </c>
    </row>
    <row r="91" spans="1:8" ht="37.5">
      <c r="A91" s="423"/>
      <c r="B91" s="436" t="s">
        <v>287</v>
      </c>
      <c r="C91" s="194" t="s">
        <v>92</v>
      </c>
      <c r="D91" s="195" t="s">
        <v>150</v>
      </c>
      <c r="E91" s="195" t="s">
        <v>90</v>
      </c>
      <c r="F91" s="196" t="s">
        <v>380</v>
      </c>
      <c r="G91" s="197"/>
      <c r="H91" s="437">
        <f>H92</f>
        <v>413.90000000000003</v>
      </c>
    </row>
    <row r="92" spans="1:8" ht="37.5">
      <c r="A92" s="423"/>
      <c r="B92" s="397" t="s">
        <v>108</v>
      </c>
      <c r="C92" s="194" t="s">
        <v>92</v>
      </c>
      <c r="D92" s="195" t="s">
        <v>150</v>
      </c>
      <c r="E92" s="195" t="s">
        <v>90</v>
      </c>
      <c r="F92" s="196" t="s">
        <v>380</v>
      </c>
      <c r="G92" s="197" t="s">
        <v>109</v>
      </c>
      <c r="H92" s="437">
        <f>'прил12(ведом 19)'!M453</f>
        <v>413.90000000000003</v>
      </c>
    </row>
    <row r="93" spans="1:8" ht="56.25">
      <c r="A93" s="423"/>
      <c r="B93" s="397" t="s">
        <v>288</v>
      </c>
      <c r="C93" s="194" t="s">
        <v>92</v>
      </c>
      <c r="D93" s="195" t="s">
        <v>150</v>
      </c>
      <c r="E93" s="195" t="s">
        <v>90</v>
      </c>
      <c r="F93" s="196" t="s">
        <v>381</v>
      </c>
      <c r="G93" s="197"/>
      <c r="H93" s="437">
        <f>SUM(H94:H94)</f>
        <v>7.5</v>
      </c>
    </row>
    <row r="94" spans="1:8" ht="56.25">
      <c r="A94" s="423"/>
      <c r="B94" s="397" t="s">
        <v>135</v>
      </c>
      <c r="C94" s="194" t="s">
        <v>92</v>
      </c>
      <c r="D94" s="195" t="s">
        <v>150</v>
      </c>
      <c r="E94" s="195" t="s">
        <v>90</v>
      </c>
      <c r="F94" s="196" t="s">
        <v>381</v>
      </c>
      <c r="G94" s="197" t="s">
        <v>136</v>
      </c>
      <c r="H94" s="437">
        <f>'прил12(ведом 19)'!M455</f>
        <v>7.5</v>
      </c>
    </row>
    <row r="95" spans="1:8" ht="18.75">
      <c r="A95" s="423"/>
      <c r="B95" s="397" t="s">
        <v>697</v>
      </c>
      <c r="C95" s="194" t="s">
        <v>92</v>
      </c>
      <c r="D95" s="195" t="s">
        <v>150</v>
      </c>
      <c r="E95" s="195" t="s">
        <v>90</v>
      </c>
      <c r="F95" s="196" t="s">
        <v>696</v>
      </c>
      <c r="G95" s="197"/>
      <c r="H95" s="437">
        <f>H96</f>
        <v>125</v>
      </c>
    </row>
    <row r="96" spans="1:8" ht="93.75">
      <c r="A96" s="423"/>
      <c r="B96" s="397" t="s">
        <v>102</v>
      </c>
      <c r="C96" s="194" t="s">
        <v>92</v>
      </c>
      <c r="D96" s="195" t="s">
        <v>150</v>
      </c>
      <c r="E96" s="195" t="s">
        <v>90</v>
      </c>
      <c r="F96" s="196" t="s">
        <v>696</v>
      </c>
      <c r="G96" s="197" t="s">
        <v>103</v>
      </c>
      <c r="H96" s="437">
        <f>'прил12(ведом 19)'!M457</f>
        <v>125</v>
      </c>
    </row>
    <row r="97" spans="1:8" ht="18.75">
      <c r="A97" s="423"/>
      <c r="B97" s="436" t="s">
        <v>374</v>
      </c>
      <c r="C97" s="194" t="s">
        <v>92</v>
      </c>
      <c r="D97" s="195" t="s">
        <v>150</v>
      </c>
      <c r="E97" s="195" t="s">
        <v>90</v>
      </c>
      <c r="F97" s="196" t="s">
        <v>375</v>
      </c>
      <c r="G97" s="197"/>
      <c r="H97" s="437">
        <f>H98</f>
        <v>151.4</v>
      </c>
    </row>
    <row r="98" spans="1:8" ht="93.75">
      <c r="A98" s="423"/>
      <c r="B98" s="397" t="s">
        <v>102</v>
      </c>
      <c r="C98" s="194" t="s">
        <v>92</v>
      </c>
      <c r="D98" s="195" t="s">
        <v>150</v>
      </c>
      <c r="E98" s="195" t="s">
        <v>90</v>
      </c>
      <c r="F98" s="196" t="s">
        <v>375</v>
      </c>
      <c r="G98" s="197" t="s">
        <v>103</v>
      </c>
      <c r="H98" s="437">
        <f>'прил12(ведом 19)'!M459</f>
        <v>151.4</v>
      </c>
    </row>
    <row r="99" spans="1:8" ht="112.5">
      <c r="A99" s="423"/>
      <c r="B99" s="436" t="s">
        <v>503</v>
      </c>
      <c r="C99" s="194" t="s">
        <v>92</v>
      </c>
      <c r="D99" s="195" t="s">
        <v>150</v>
      </c>
      <c r="E99" s="195" t="s">
        <v>90</v>
      </c>
      <c r="F99" s="196" t="s">
        <v>376</v>
      </c>
      <c r="G99" s="197"/>
      <c r="H99" s="437">
        <f>H100</f>
        <v>3577.2</v>
      </c>
    </row>
    <row r="100" spans="1:8" ht="56.25">
      <c r="A100" s="423"/>
      <c r="B100" s="436" t="s">
        <v>135</v>
      </c>
      <c r="C100" s="194" t="s">
        <v>92</v>
      </c>
      <c r="D100" s="195" t="s">
        <v>150</v>
      </c>
      <c r="E100" s="195" t="s">
        <v>90</v>
      </c>
      <c r="F100" s="196" t="s">
        <v>376</v>
      </c>
      <c r="G100" s="197" t="s">
        <v>136</v>
      </c>
      <c r="H100" s="437">
        <f>'прил12(ведом 19)'!M461</f>
        <v>3577.2</v>
      </c>
    </row>
    <row r="101" spans="1:8" ht="37.5">
      <c r="A101" s="423"/>
      <c r="B101" s="791" t="s">
        <v>897</v>
      </c>
      <c r="C101" s="787" t="s">
        <v>92</v>
      </c>
      <c r="D101" s="788" t="s">
        <v>150</v>
      </c>
      <c r="E101" s="788" t="s">
        <v>90</v>
      </c>
      <c r="F101" s="789" t="s">
        <v>896</v>
      </c>
      <c r="G101" s="786"/>
      <c r="H101" s="747">
        <f>H102</f>
        <v>1</v>
      </c>
    </row>
    <row r="102" spans="1:8" ht="56.25">
      <c r="A102" s="423"/>
      <c r="B102" s="791" t="s">
        <v>135</v>
      </c>
      <c r="C102" s="787" t="s">
        <v>92</v>
      </c>
      <c r="D102" s="788" t="s">
        <v>150</v>
      </c>
      <c r="E102" s="788" t="s">
        <v>90</v>
      </c>
      <c r="F102" s="789" t="s">
        <v>896</v>
      </c>
      <c r="G102" s="786" t="s">
        <v>136</v>
      </c>
      <c r="H102" s="747">
        <f>'прил12(ведом 19)'!M463</f>
        <v>1</v>
      </c>
    </row>
    <row r="103" spans="1:8" ht="56.25">
      <c r="A103" s="423"/>
      <c r="B103" s="791" t="s">
        <v>899</v>
      </c>
      <c r="C103" s="787" t="s">
        <v>92</v>
      </c>
      <c r="D103" s="788" t="s">
        <v>150</v>
      </c>
      <c r="E103" s="788" t="s">
        <v>90</v>
      </c>
      <c r="F103" s="789" t="s">
        <v>890</v>
      </c>
      <c r="G103" s="746"/>
      <c r="H103" s="747">
        <f>H104</f>
        <v>100</v>
      </c>
    </row>
    <row r="104" spans="1:8" ht="56.25">
      <c r="A104" s="423"/>
      <c r="B104" s="791" t="s">
        <v>135</v>
      </c>
      <c r="C104" s="787" t="s">
        <v>92</v>
      </c>
      <c r="D104" s="788" t="s">
        <v>150</v>
      </c>
      <c r="E104" s="788" t="s">
        <v>90</v>
      </c>
      <c r="F104" s="789" t="s">
        <v>890</v>
      </c>
      <c r="G104" s="746" t="s">
        <v>136</v>
      </c>
      <c r="H104" s="747">
        <f>'прил12(ведом 19)'!M465</f>
        <v>100</v>
      </c>
    </row>
    <row r="105" spans="1:8" ht="56.25">
      <c r="A105" s="423"/>
      <c r="B105" s="397" t="s">
        <v>844</v>
      </c>
      <c r="C105" s="194" t="s">
        <v>92</v>
      </c>
      <c r="D105" s="195" t="s">
        <v>150</v>
      </c>
      <c r="E105" s="195" t="s">
        <v>90</v>
      </c>
      <c r="F105" s="196" t="s">
        <v>843</v>
      </c>
      <c r="G105" s="197"/>
      <c r="H105" s="437">
        <v>2064.6</v>
      </c>
    </row>
    <row r="106" spans="1:8" ht="37.5">
      <c r="A106" s="423"/>
      <c r="B106" s="397" t="s">
        <v>108</v>
      </c>
      <c r="C106" s="194" t="s">
        <v>92</v>
      </c>
      <c r="D106" s="195" t="s">
        <v>150</v>
      </c>
      <c r="E106" s="195" t="s">
        <v>90</v>
      </c>
      <c r="F106" s="196" t="s">
        <v>843</v>
      </c>
      <c r="G106" s="197" t="s">
        <v>109</v>
      </c>
      <c r="H106" s="437">
        <f>'прил12(ведом 19)'!M467</f>
        <v>2064.6</v>
      </c>
    </row>
    <row r="107" spans="1:8" ht="18.75">
      <c r="A107" s="423"/>
      <c r="B107" s="397" t="s">
        <v>384</v>
      </c>
      <c r="C107" s="194" t="s">
        <v>92</v>
      </c>
      <c r="D107" s="195" t="s">
        <v>150</v>
      </c>
      <c r="E107" s="195" t="s">
        <v>92</v>
      </c>
      <c r="F107" s="196" t="s">
        <v>97</v>
      </c>
      <c r="G107" s="197"/>
      <c r="H107" s="437">
        <f>H108</f>
        <v>9</v>
      </c>
    </row>
    <row r="108" spans="1:8" ht="37.5">
      <c r="A108" s="423"/>
      <c r="B108" s="397" t="s">
        <v>385</v>
      </c>
      <c r="C108" s="194" t="s">
        <v>92</v>
      </c>
      <c r="D108" s="195" t="s">
        <v>150</v>
      </c>
      <c r="E108" s="195" t="s">
        <v>92</v>
      </c>
      <c r="F108" s="196" t="s">
        <v>386</v>
      </c>
      <c r="G108" s="197"/>
      <c r="H108" s="437">
        <f>H109</f>
        <v>9</v>
      </c>
    </row>
    <row r="109" spans="1:8" ht="37.5">
      <c r="A109" s="423"/>
      <c r="B109" s="397" t="s">
        <v>183</v>
      </c>
      <c r="C109" s="194" t="s">
        <v>92</v>
      </c>
      <c r="D109" s="195" t="s">
        <v>150</v>
      </c>
      <c r="E109" s="195" t="s">
        <v>92</v>
      </c>
      <c r="F109" s="196" t="s">
        <v>386</v>
      </c>
      <c r="G109" s="197" t="s">
        <v>184</v>
      </c>
      <c r="H109" s="437">
        <f>'прил12(ведом 19)'!M482</f>
        <v>9</v>
      </c>
    </row>
    <row r="110" spans="1:8" ht="56.25">
      <c r="A110" s="423"/>
      <c r="B110" s="436" t="s">
        <v>292</v>
      </c>
      <c r="C110" s="194" t="s">
        <v>92</v>
      </c>
      <c r="D110" s="195" t="s">
        <v>83</v>
      </c>
      <c r="E110" s="195" t="s">
        <v>96</v>
      </c>
      <c r="F110" s="196" t="s">
        <v>97</v>
      </c>
      <c r="G110" s="422"/>
      <c r="H110" s="437">
        <f>H111+H127</f>
        <v>53098.348309999994</v>
      </c>
    </row>
    <row r="111" spans="1:8" ht="37.5">
      <c r="A111" s="423"/>
      <c r="B111" s="436" t="s">
        <v>389</v>
      </c>
      <c r="C111" s="194" t="s">
        <v>92</v>
      </c>
      <c r="D111" s="195" t="s">
        <v>83</v>
      </c>
      <c r="E111" s="195" t="s">
        <v>90</v>
      </c>
      <c r="F111" s="196" t="s">
        <v>97</v>
      </c>
      <c r="G111" s="422"/>
      <c r="H111" s="437">
        <f>H112+H116+H124+H121</f>
        <v>48032.248309999995</v>
      </c>
    </row>
    <row r="112" spans="1:8" ht="37.5">
      <c r="A112" s="423"/>
      <c r="B112" s="436" t="s">
        <v>100</v>
      </c>
      <c r="C112" s="194" t="s">
        <v>92</v>
      </c>
      <c r="D112" s="195" t="s">
        <v>83</v>
      </c>
      <c r="E112" s="195" t="s">
        <v>90</v>
      </c>
      <c r="F112" s="196" t="s">
        <v>101</v>
      </c>
      <c r="G112" s="197"/>
      <c r="H112" s="437">
        <f>SUM(H113:H115)</f>
        <v>8562.423020000002</v>
      </c>
    </row>
    <row r="113" spans="1:8" ht="93.75">
      <c r="A113" s="423"/>
      <c r="B113" s="436" t="s">
        <v>102</v>
      </c>
      <c r="C113" s="194" t="s">
        <v>92</v>
      </c>
      <c r="D113" s="195" t="s">
        <v>83</v>
      </c>
      <c r="E113" s="195" t="s">
        <v>90</v>
      </c>
      <c r="F113" s="196" t="s">
        <v>101</v>
      </c>
      <c r="G113" s="197" t="s">
        <v>103</v>
      </c>
      <c r="H113" s="437">
        <f>'прил12(ведом 19)'!M486</f>
        <v>7867.1</v>
      </c>
    </row>
    <row r="114" spans="1:8" ht="37.5">
      <c r="A114" s="423"/>
      <c r="B114" s="436" t="s">
        <v>108</v>
      </c>
      <c r="C114" s="194" t="s">
        <v>92</v>
      </c>
      <c r="D114" s="195" t="s">
        <v>83</v>
      </c>
      <c r="E114" s="195" t="s">
        <v>90</v>
      </c>
      <c r="F114" s="196" t="s">
        <v>101</v>
      </c>
      <c r="G114" s="197" t="s">
        <v>109</v>
      </c>
      <c r="H114" s="437">
        <f>'прил12(ведом 19)'!M487</f>
        <v>677.12302</v>
      </c>
    </row>
    <row r="115" spans="1:8" ht="18.75">
      <c r="A115" s="423"/>
      <c r="B115" s="436" t="s">
        <v>110</v>
      </c>
      <c r="C115" s="194" t="s">
        <v>92</v>
      </c>
      <c r="D115" s="195" t="s">
        <v>83</v>
      </c>
      <c r="E115" s="195" t="s">
        <v>90</v>
      </c>
      <c r="F115" s="196" t="s">
        <v>101</v>
      </c>
      <c r="G115" s="197" t="s">
        <v>111</v>
      </c>
      <c r="H115" s="437">
        <f>'прил12(ведом 19)'!M488</f>
        <v>18.2</v>
      </c>
    </row>
    <row r="116" spans="1:8" ht="75">
      <c r="A116" s="423"/>
      <c r="B116" s="436" t="s">
        <v>151</v>
      </c>
      <c r="C116" s="194" t="s">
        <v>92</v>
      </c>
      <c r="D116" s="195" t="s">
        <v>83</v>
      </c>
      <c r="E116" s="195" t="s">
        <v>90</v>
      </c>
      <c r="F116" s="196" t="s">
        <v>153</v>
      </c>
      <c r="G116" s="197"/>
      <c r="H116" s="437">
        <f>SUM(H117:H120)</f>
        <v>31250.925289999999</v>
      </c>
    </row>
    <row r="117" spans="1:8" ht="93.75">
      <c r="A117" s="423"/>
      <c r="B117" s="436" t="s">
        <v>102</v>
      </c>
      <c r="C117" s="194" t="s">
        <v>92</v>
      </c>
      <c r="D117" s="195" t="s">
        <v>83</v>
      </c>
      <c r="E117" s="195" t="s">
        <v>90</v>
      </c>
      <c r="F117" s="196" t="s">
        <v>153</v>
      </c>
      <c r="G117" s="197" t="s">
        <v>103</v>
      </c>
      <c r="H117" s="437">
        <f>'прил12(ведом 19)'!M490</f>
        <v>24761.5</v>
      </c>
    </row>
    <row r="118" spans="1:8" ht="37.5">
      <c r="A118" s="423"/>
      <c r="B118" s="436" t="s">
        <v>108</v>
      </c>
      <c r="C118" s="194" t="s">
        <v>92</v>
      </c>
      <c r="D118" s="195" t="s">
        <v>83</v>
      </c>
      <c r="E118" s="195" t="s">
        <v>90</v>
      </c>
      <c r="F118" s="196" t="s">
        <v>153</v>
      </c>
      <c r="G118" s="197" t="s">
        <v>109</v>
      </c>
      <c r="H118" s="437">
        <f>'прил12(ведом 19)'!M491</f>
        <v>2414.6252899999999</v>
      </c>
    </row>
    <row r="119" spans="1:8" ht="48" customHeight="1">
      <c r="A119" s="423"/>
      <c r="B119" s="436" t="s">
        <v>135</v>
      </c>
      <c r="C119" s="194" t="s">
        <v>92</v>
      </c>
      <c r="D119" s="195" t="s">
        <v>83</v>
      </c>
      <c r="E119" s="195" t="s">
        <v>90</v>
      </c>
      <c r="F119" s="196" t="s">
        <v>153</v>
      </c>
      <c r="G119" s="197" t="s">
        <v>136</v>
      </c>
      <c r="H119" s="437">
        <f>'прил12(ведом 19)'!M492</f>
        <v>4045.3</v>
      </c>
    </row>
    <row r="120" spans="1:8" ht="18.75">
      <c r="A120" s="423"/>
      <c r="B120" s="436" t="s">
        <v>110</v>
      </c>
      <c r="C120" s="194" t="s">
        <v>92</v>
      </c>
      <c r="D120" s="195" t="s">
        <v>83</v>
      </c>
      <c r="E120" s="195" t="s">
        <v>90</v>
      </c>
      <c r="F120" s="196" t="s">
        <v>153</v>
      </c>
      <c r="G120" s="197" t="s">
        <v>111</v>
      </c>
      <c r="H120" s="437">
        <f>'прил12(ведом 19)'!M493</f>
        <v>29.5</v>
      </c>
    </row>
    <row r="121" spans="1:8" ht="112.5">
      <c r="A121" s="423"/>
      <c r="B121" s="397" t="s">
        <v>503</v>
      </c>
      <c r="C121" s="194" t="s">
        <v>92</v>
      </c>
      <c r="D121" s="195" t="s">
        <v>83</v>
      </c>
      <c r="E121" s="195" t="s">
        <v>90</v>
      </c>
      <c r="F121" s="196" t="s">
        <v>376</v>
      </c>
      <c r="G121" s="197"/>
      <c r="H121" s="437">
        <f>H122+H123</f>
        <v>5848.2000000000007</v>
      </c>
    </row>
    <row r="122" spans="1:8" ht="93.75">
      <c r="A122" s="423"/>
      <c r="B122" s="397" t="s">
        <v>102</v>
      </c>
      <c r="C122" s="194" t="s">
        <v>92</v>
      </c>
      <c r="D122" s="195" t="s">
        <v>83</v>
      </c>
      <c r="E122" s="195" t="s">
        <v>90</v>
      </c>
      <c r="F122" s="196" t="s">
        <v>376</v>
      </c>
      <c r="G122" s="197" t="s">
        <v>103</v>
      </c>
      <c r="H122" s="437">
        <f>'прил12(ведом 19)'!M495</f>
        <v>5595.1</v>
      </c>
    </row>
    <row r="123" spans="1:8" ht="37.5">
      <c r="A123" s="423"/>
      <c r="B123" s="436" t="s">
        <v>108</v>
      </c>
      <c r="C123" s="194" t="s">
        <v>92</v>
      </c>
      <c r="D123" s="195" t="s">
        <v>83</v>
      </c>
      <c r="E123" s="195" t="s">
        <v>90</v>
      </c>
      <c r="F123" s="196" t="s">
        <v>376</v>
      </c>
      <c r="G123" s="197" t="s">
        <v>109</v>
      </c>
      <c r="H123" s="437">
        <f>'прил12(ведом 19)'!M496</f>
        <v>253.1</v>
      </c>
    </row>
    <row r="124" spans="1:8" ht="195.6" customHeight="1">
      <c r="A124" s="423"/>
      <c r="B124" s="397" t="s">
        <v>810</v>
      </c>
      <c r="C124" s="194" t="s">
        <v>92</v>
      </c>
      <c r="D124" s="195" t="s">
        <v>83</v>
      </c>
      <c r="E124" s="195" t="s">
        <v>90</v>
      </c>
      <c r="F124" s="196" t="s">
        <v>504</v>
      </c>
      <c r="G124" s="197"/>
      <c r="H124" s="437">
        <f>SUM(H126:H126)+H125</f>
        <v>2370.6999999999998</v>
      </c>
    </row>
    <row r="125" spans="1:8" ht="91.15" customHeight="1">
      <c r="A125" s="423"/>
      <c r="B125" s="397" t="s">
        <v>102</v>
      </c>
      <c r="C125" s="194" t="s">
        <v>92</v>
      </c>
      <c r="D125" s="195" t="s">
        <v>83</v>
      </c>
      <c r="E125" s="195" t="s">
        <v>90</v>
      </c>
      <c r="F125" s="196" t="s">
        <v>504</v>
      </c>
      <c r="G125" s="197" t="s">
        <v>103</v>
      </c>
      <c r="H125" s="437">
        <f>'прил12(ведом 19)'!M436</f>
        <v>29.789760000000001</v>
      </c>
    </row>
    <row r="126" spans="1:8" ht="56.25">
      <c r="A126" s="423"/>
      <c r="B126" s="436" t="s">
        <v>135</v>
      </c>
      <c r="C126" s="194" t="s">
        <v>92</v>
      </c>
      <c r="D126" s="195" t="s">
        <v>83</v>
      </c>
      <c r="E126" s="195" t="s">
        <v>90</v>
      </c>
      <c r="F126" s="196" t="s">
        <v>504</v>
      </c>
      <c r="G126" s="197" t="s">
        <v>136</v>
      </c>
      <c r="H126" s="437">
        <f>'прил12(ведом 19)'!M437</f>
        <v>2340.9102399999997</v>
      </c>
    </row>
    <row r="127" spans="1:8" ht="37.5">
      <c r="A127" s="423"/>
      <c r="B127" s="397" t="s">
        <v>388</v>
      </c>
      <c r="C127" s="194" t="s">
        <v>92</v>
      </c>
      <c r="D127" s="195" t="s">
        <v>83</v>
      </c>
      <c r="E127" s="195" t="s">
        <v>92</v>
      </c>
      <c r="F127" s="196" t="s">
        <v>97</v>
      </c>
      <c r="G127" s="197"/>
      <c r="H127" s="437">
        <f>H128+H131</f>
        <v>5066.1000000000004</v>
      </c>
    </row>
    <row r="128" spans="1:8" ht="37.5">
      <c r="A128" s="423"/>
      <c r="B128" s="397" t="s">
        <v>823</v>
      </c>
      <c r="C128" s="194" t="s">
        <v>92</v>
      </c>
      <c r="D128" s="195" t="s">
        <v>83</v>
      </c>
      <c r="E128" s="195" t="s">
        <v>92</v>
      </c>
      <c r="F128" s="196" t="s">
        <v>822</v>
      </c>
      <c r="G128" s="197"/>
      <c r="H128" s="437">
        <f>H129+H130</f>
        <v>1062.5</v>
      </c>
    </row>
    <row r="129" spans="1:8" ht="37.5">
      <c r="A129" s="423"/>
      <c r="B129" s="397" t="s">
        <v>108</v>
      </c>
      <c r="C129" s="194" t="s">
        <v>92</v>
      </c>
      <c r="D129" s="195" t="s">
        <v>83</v>
      </c>
      <c r="E129" s="195" t="s">
        <v>92</v>
      </c>
      <c r="F129" s="196" t="s">
        <v>822</v>
      </c>
      <c r="G129" s="197" t="s">
        <v>109</v>
      </c>
      <c r="H129" s="437">
        <f>'прил12(ведом 19)'!M473</f>
        <v>652.79999999999995</v>
      </c>
    </row>
    <row r="130" spans="1:8" ht="56.25">
      <c r="A130" s="423"/>
      <c r="B130" s="397" t="s">
        <v>135</v>
      </c>
      <c r="C130" s="194" t="s">
        <v>92</v>
      </c>
      <c r="D130" s="195" t="s">
        <v>83</v>
      </c>
      <c r="E130" s="195" t="s">
        <v>92</v>
      </c>
      <c r="F130" s="196" t="s">
        <v>822</v>
      </c>
      <c r="G130" s="197" t="s">
        <v>136</v>
      </c>
      <c r="H130" s="437">
        <f>'прил12(ведом 19)'!M474</f>
        <v>409.7</v>
      </c>
    </row>
    <row r="131" spans="1:8" ht="37.5">
      <c r="A131" s="423"/>
      <c r="B131" s="397" t="s">
        <v>506</v>
      </c>
      <c r="C131" s="194" t="s">
        <v>92</v>
      </c>
      <c r="D131" s="195" t="s">
        <v>83</v>
      </c>
      <c r="E131" s="195" t="s">
        <v>92</v>
      </c>
      <c r="F131" s="196" t="s">
        <v>640</v>
      </c>
      <c r="G131" s="197"/>
      <c r="H131" s="437">
        <f>H132</f>
        <v>4003.6</v>
      </c>
    </row>
    <row r="132" spans="1:8" ht="56.25">
      <c r="A132" s="423"/>
      <c r="B132" s="397" t="s">
        <v>135</v>
      </c>
      <c r="C132" s="194" t="s">
        <v>92</v>
      </c>
      <c r="D132" s="195" t="s">
        <v>83</v>
      </c>
      <c r="E132" s="195" t="s">
        <v>92</v>
      </c>
      <c r="F132" s="196" t="s">
        <v>640</v>
      </c>
      <c r="G132" s="197" t="s">
        <v>136</v>
      </c>
      <c r="H132" s="437">
        <f>'прил12(ведом 19)'!M476</f>
        <v>4003.6</v>
      </c>
    </row>
    <row r="133" spans="1:8" ht="18.75">
      <c r="A133" s="423"/>
      <c r="B133" s="440"/>
      <c r="C133" s="552"/>
      <c r="D133" s="553"/>
      <c r="E133" s="553"/>
      <c r="F133" s="554"/>
      <c r="G133" s="422"/>
      <c r="H133" s="437"/>
    </row>
    <row r="134" spans="1:8" s="435" customFormat="1" ht="56.25">
      <c r="A134" s="441">
        <v>2</v>
      </c>
      <c r="B134" s="430" t="s">
        <v>293</v>
      </c>
      <c r="C134" s="442" t="s">
        <v>119</v>
      </c>
      <c r="D134" s="442" t="s">
        <v>95</v>
      </c>
      <c r="E134" s="442" t="s">
        <v>96</v>
      </c>
      <c r="F134" s="443" t="s">
        <v>97</v>
      </c>
      <c r="G134" s="433"/>
      <c r="H134" s="434">
        <f>H135+H161+H168</f>
        <v>84527.8</v>
      </c>
    </row>
    <row r="135" spans="1:8" s="435" customFormat="1" ht="56.25">
      <c r="A135" s="423"/>
      <c r="B135" s="444" t="s">
        <v>294</v>
      </c>
      <c r="C135" s="194" t="s">
        <v>119</v>
      </c>
      <c r="D135" s="195" t="s">
        <v>98</v>
      </c>
      <c r="E135" s="195" t="s">
        <v>96</v>
      </c>
      <c r="F135" s="196" t="s">
        <v>97</v>
      </c>
      <c r="G135" s="422"/>
      <c r="H135" s="437">
        <f>H136+H141+H144+H153+H158</f>
        <v>74650.600000000006</v>
      </c>
    </row>
    <row r="136" spans="1:8" s="435" customFormat="1" ht="37.5">
      <c r="A136" s="423"/>
      <c r="B136" s="444" t="s">
        <v>383</v>
      </c>
      <c r="C136" s="194" t="s">
        <v>119</v>
      </c>
      <c r="D136" s="195" t="s">
        <v>98</v>
      </c>
      <c r="E136" s="195" t="s">
        <v>90</v>
      </c>
      <c r="F136" s="196" t="s">
        <v>97</v>
      </c>
      <c r="G136" s="422"/>
      <c r="H136" s="437">
        <f>H137+H139</f>
        <v>50703.400000000009</v>
      </c>
    </row>
    <row r="137" spans="1:8" s="435" customFormat="1" ht="75">
      <c r="A137" s="423"/>
      <c r="B137" s="888" t="s">
        <v>454</v>
      </c>
      <c r="C137" s="889" t="s">
        <v>119</v>
      </c>
      <c r="D137" s="890" t="s">
        <v>98</v>
      </c>
      <c r="E137" s="890" t="s">
        <v>90</v>
      </c>
      <c r="F137" s="891" t="s">
        <v>153</v>
      </c>
      <c r="G137" s="892"/>
      <c r="H137" s="893">
        <f>H138</f>
        <v>50404.900000000009</v>
      </c>
    </row>
    <row r="138" spans="1:8" s="435" customFormat="1" ht="56.25">
      <c r="A138" s="423"/>
      <c r="B138" s="894" t="s">
        <v>135</v>
      </c>
      <c r="C138" s="889" t="s">
        <v>119</v>
      </c>
      <c r="D138" s="890" t="s">
        <v>98</v>
      </c>
      <c r="E138" s="890" t="s">
        <v>90</v>
      </c>
      <c r="F138" s="891" t="s">
        <v>153</v>
      </c>
      <c r="G138" s="892" t="s">
        <v>136</v>
      </c>
      <c r="H138" s="893">
        <f>'прил12(ведом 19)'!M513</f>
        <v>50404.900000000009</v>
      </c>
    </row>
    <row r="139" spans="1:8" s="435" customFormat="1" ht="37.5">
      <c r="A139" s="423"/>
      <c r="B139" s="894" t="s">
        <v>455</v>
      </c>
      <c r="C139" s="889" t="s">
        <v>119</v>
      </c>
      <c r="D139" s="890" t="s">
        <v>98</v>
      </c>
      <c r="E139" s="890" t="s">
        <v>90</v>
      </c>
      <c r="F139" s="891" t="s">
        <v>456</v>
      </c>
      <c r="G139" s="892"/>
      <c r="H139" s="893">
        <f>H140</f>
        <v>298.5</v>
      </c>
    </row>
    <row r="140" spans="1:8" s="435" customFormat="1" ht="56.25">
      <c r="A140" s="423"/>
      <c r="B140" s="895" t="s">
        <v>135</v>
      </c>
      <c r="C140" s="889" t="s">
        <v>119</v>
      </c>
      <c r="D140" s="890" t="s">
        <v>98</v>
      </c>
      <c r="E140" s="890" t="s">
        <v>90</v>
      </c>
      <c r="F140" s="891" t="s">
        <v>456</v>
      </c>
      <c r="G140" s="892" t="s">
        <v>136</v>
      </c>
      <c r="H140" s="893">
        <f>'прил12(ведом 19)'!M515</f>
        <v>298.5</v>
      </c>
    </row>
    <row r="141" spans="1:8" ht="18.75">
      <c r="A141" s="446"/>
      <c r="B141" s="438" t="s">
        <v>384</v>
      </c>
      <c r="C141" s="194" t="s">
        <v>119</v>
      </c>
      <c r="D141" s="195" t="s">
        <v>98</v>
      </c>
      <c r="E141" s="195" t="s">
        <v>92</v>
      </c>
      <c r="F141" s="196" t="s">
        <v>97</v>
      </c>
      <c r="G141" s="197"/>
      <c r="H141" s="447">
        <f>H142</f>
        <v>180</v>
      </c>
    </row>
    <row r="142" spans="1:8" s="435" customFormat="1" ht="37.5">
      <c r="A142" s="423"/>
      <c r="B142" s="438" t="s">
        <v>291</v>
      </c>
      <c r="C142" s="194" t="s">
        <v>119</v>
      </c>
      <c r="D142" s="195" t="s">
        <v>98</v>
      </c>
      <c r="E142" s="195" t="s">
        <v>92</v>
      </c>
      <c r="F142" s="196" t="s">
        <v>386</v>
      </c>
      <c r="G142" s="197"/>
      <c r="H142" s="437">
        <f>H143</f>
        <v>180</v>
      </c>
    </row>
    <row r="143" spans="1:8" s="435" customFormat="1" ht="37.5">
      <c r="A143" s="423"/>
      <c r="B143" s="438" t="s">
        <v>183</v>
      </c>
      <c r="C143" s="194" t="s">
        <v>119</v>
      </c>
      <c r="D143" s="195" t="s">
        <v>98</v>
      </c>
      <c r="E143" s="195" t="s">
        <v>92</v>
      </c>
      <c r="F143" s="196" t="s">
        <v>386</v>
      </c>
      <c r="G143" s="197" t="s">
        <v>184</v>
      </c>
      <c r="H143" s="437">
        <f>'прил12(ведом 19)'!M527</f>
        <v>180</v>
      </c>
    </row>
    <row r="144" spans="1:8" s="435" customFormat="1" ht="18.75">
      <c r="A144" s="423"/>
      <c r="B144" s="436" t="s">
        <v>457</v>
      </c>
      <c r="C144" s="448" t="s">
        <v>119</v>
      </c>
      <c r="D144" s="449" t="s">
        <v>98</v>
      </c>
      <c r="E144" s="449" t="s">
        <v>119</v>
      </c>
      <c r="F144" s="450" t="s">
        <v>97</v>
      </c>
      <c r="G144" s="451"/>
      <c r="H144" s="437">
        <f>H145+H147+H149+H151</f>
        <v>11442.400000000001</v>
      </c>
    </row>
    <row r="145" spans="1:8" s="435" customFormat="1" ht="75">
      <c r="A145" s="423"/>
      <c r="B145" s="445" t="s">
        <v>458</v>
      </c>
      <c r="C145" s="448" t="s">
        <v>119</v>
      </c>
      <c r="D145" s="449" t="s">
        <v>98</v>
      </c>
      <c r="E145" s="449" t="s">
        <v>119</v>
      </c>
      <c r="F145" s="450" t="s">
        <v>153</v>
      </c>
      <c r="G145" s="451"/>
      <c r="H145" s="437">
        <f>H146</f>
        <v>10638.1</v>
      </c>
    </row>
    <row r="146" spans="1:8" s="435" customFormat="1" ht="56.25">
      <c r="A146" s="423"/>
      <c r="B146" s="438" t="s">
        <v>135</v>
      </c>
      <c r="C146" s="194" t="s">
        <v>119</v>
      </c>
      <c r="D146" s="195" t="s">
        <v>98</v>
      </c>
      <c r="E146" s="195" t="s">
        <v>119</v>
      </c>
      <c r="F146" s="196" t="s">
        <v>153</v>
      </c>
      <c r="G146" s="197" t="s">
        <v>136</v>
      </c>
      <c r="H146" s="437">
        <f>'прил12(ведом 19)'!M534</f>
        <v>10638.1</v>
      </c>
    </row>
    <row r="147" spans="1:8" s="435" customFormat="1" ht="40.15" customHeight="1">
      <c r="A147" s="423"/>
      <c r="B147" s="438" t="s">
        <v>455</v>
      </c>
      <c r="C147" s="448" t="s">
        <v>119</v>
      </c>
      <c r="D147" s="449" t="s">
        <v>98</v>
      </c>
      <c r="E147" s="449" t="s">
        <v>119</v>
      </c>
      <c r="F147" s="450" t="s">
        <v>456</v>
      </c>
      <c r="G147" s="451"/>
      <c r="H147" s="437">
        <f>H148</f>
        <v>297.45699999999999</v>
      </c>
    </row>
    <row r="148" spans="1:8" s="435" customFormat="1" ht="56.25">
      <c r="A148" s="423"/>
      <c r="B148" s="438" t="s">
        <v>135</v>
      </c>
      <c r="C148" s="448" t="s">
        <v>119</v>
      </c>
      <c r="D148" s="449" t="s">
        <v>98</v>
      </c>
      <c r="E148" s="449" t="s">
        <v>119</v>
      </c>
      <c r="F148" s="450" t="s">
        <v>456</v>
      </c>
      <c r="G148" s="451" t="s">
        <v>136</v>
      </c>
      <c r="H148" s="437">
        <f>'прил12(ведом 19)'!M536</f>
        <v>297.45699999999999</v>
      </c>
    </row>
    <row r="149" spans="1:8" s="435" customFormat="1" ht="56.25">
      <c r="A149" s="423"/>
      <c r="B149" s="438" t="s">
        <v>295</v>
      </c>
      <c r="C149" s="194" t="s">
        <v>119</v>
      </c>
      <c r="D149" s="195" t="s">
        <v>98</v>
      </c>
      <c r="E149" s="195" t="s">
        <v>119</v>
      </c>
      <c r="F149" s="196" t="s">
        <v>459</v>
      </c>
      <c r="G149" s="197"/>
      <c r="H149" s="437">
        <f>H150</f>
        <v>440</v>
      </c>
    </row>
    <row r="150" spans="1:8" s="435" customFormat="1" ht="56.25">
      <c r="A150" s="423"/>
      <c r="B150" s="438" t="s">
        <v>135</v>
      </c>
      <c r="C150" s="194" t="s">
        <v>119</v>
      </c>
      <c r="D150" s="195" t="s">
        <v>98</v>
      </c>
      <c r="E150" s="195" t="s">
        <v>119</v>
      </c>
      <c r="F150" s="196" t="s">
        <v>459</v>
      </c>
      <c r="G150" s="197" t="s">
        <v>136</v>
      </c>
      <c r="H150" s="437">
        <f>'прил12(ведом 19)'!M538</f>
        <v>440</v>
      </c>
    </row>
    <row r="151" spans="1:8" s="435" customFormat="1" ht="18.75">
      <c r="A151" s="423"/>
      <c r="B151" s="155" t="s">
        <v>826</v>
      </c>
      <c r="C151" s="194" t="s">
        <v>119</v>
      </c>
      <c r="D151" s="195" t="s">
        <v>98</v>
      </c>
      <c r="E151" s="195" t="s">
        <v>119</v>
      </c>
      <c r="F151" s="196" t="s">
        <v>824</v>
      </c>
      <c r="G151" s="197"/>
      <c r="H151" s="437">
        <f>H152</f>
        <v>66.843000000000004</v>
      </c>
    </row>
    <row r="152" spans="1:8" s="435" customFormat="1" ht="56.25">
      <c r="A152" s="423"/>
      <c r="B152" s="438" t="s">
        <v>135</v>
      </c>
      <c r="C152" s="194" t="s">
        <v>119</v>
      </c>
      <c r="D152" s="195" t="s">
        <v>98</v>
      </c>
      <c r="E152" s="195" t="s">
        <v>119</v>
      </c>
      <c r="F152" s="196" t="s">
        <v>824</v>
      </c>
      <c r="G152" s="197" t="s">
        <v>136</v>
      </c>
      <c r="H152" s="437">
        <f>'прил12(ведом 19)'!M540</f>
        <v>66.843000000000004</v>
      </c>
    </row>
    <row r="153" spans="1:8" s="435" customFormat="1" ht="37.5">
      <c r="A153" s="423"/>
      <c r="B153" s="438" t="s">
        <v>460</v>
      </c>
      <c r="C153" s="448" t="s">
        <v>119</v>
      </c>
      <c r="D153" s="449" t="s">
        <v>98</v>
      </c>
      <c r="E153" s="449" t="s">
        <v>105</v>
      </c>
      <c r="F153" s="196" t="s">
        <v>97</v>
      </c>
      <c r="G153" s="197"/>
      <c r="H153" s="437">
        <f>H154</f>
        <v>12054.8</v>
      </c>
    </row>
    <row r="154" spans="1:8" s="435" customFormat="1" ht="75">
      <c r="A154" s="423"/>
      <c r="B154" s="445" t="s">
        <v>458</v>
      </c>
      <c r="C154" s="448" t="s">
        <v>119</v>
      </c>
      <c r="D154" s="449" t="s">
        <v>98</v>
      </c>
      <c r="E154" s="449" t="s">
        <v>105</v>
      </c>
      <c r="F154" s="450" t="s">
        <v>153</v>
      </c>
      <c r="G154" s="451"/>
      <c r="H154" s="437">
        <f>SUM(H155:H157)</f>
        <v>12054.8</v>
      </c>
    </row>
    <row r="155" spans="1:8" s="435" customFormat="1" ht="93.75">
      <c r="A155" s="423"/>
      <c r="B155" s="397" t="s">
        <v>102</v>
      </c>
      <c r="C155" s="194" t="s">
        <v>119</v>
      </c>
      <c r="D155" s="195" t="s">
        <v>98</v>
      </c>
      <c r="E155" s="195" t="s">
        <v>105</v>
      </c>
      <c r="F155" s="196" t="s">
        <v>153</v>
      </c>
      <c r="G155" s="197" t="s">
        <v>103</v>
      </c>
      <c r="H155" s="437">
        <f>'прил12(ведом 19)'!M543</f>
        <v>11169.8</v>
      </c>
    </row>
    <row r="156" spans="1:8" s="435" customFormat="1" ht="37.5">
      <c r="A156" s="423"/>
      <c r="B156" s="397" t="s">
        <v>108</v>
      </c>
      <c r="C156" s="194" t="s">
        <v>119</v>
      </c>
      <c r="D156" s="195" t="s">
        <v>98</v>
      </c>
      <c r="E156" s="195" t="s">
        <v>105</v>
      </c>
      <c r="F156" s="196" t="s">
        <v>153</v>
      </c>
      <c r="G156" s="197" t="s">
        <v>109</v>
      </c>
      <c r="H156" s="437">
        <f>'прил12(ведом 19)'!M544</f>
        <v>863.6</v>
      </c>
    </row>
    <row r="157" spans="1:8" s="435" customFormat="1" ht="18.75">
      <c r="A157" s="423"/>
      <c r="B157" s="397" t="s">
        <v>110</v>
      </c>
      <c r="C157" s="194" t="s">
        <v>119</v>
      </c>
      <c r="D157" s="195" t="s">
        <v>98</v>
      </c>
      <c r="E157" s="195" t="s">
        <v>105</v>
      </c>
      <c r="F157" s="196" t="s">
        <v>153</v>
      </c>
      <c r="G157" s="197" t="s">
        <v>111</v>
      </c>
      <c r="H157" s="437">
        <f>'прил12(ведом 19)'!M545</f>
        <v>21.4</v>
      </c>
    </row>
    <row r="158" spans="1:8" s="435" customFormat="1" ht="37.5">
      <c r="A158" s="423"/>
      <c r="B158" s="499" t="s">
        <v>388</v>
      </c>
      <c r="C158" s="194" t="s">
        <v>119</v>
      </c>
      <c r="D158" s="195" t="s">
        <v>98</v>
      </c>
      <c r="E158" s="195" t="s">
        <v>121</v>
      </c>
      <c r="F158" s="196" t="s">
        <v>97</v>
      </c>
      <c r="G158" s="197"/>
      <c r="H158" s="437">
        <f>H159</f>
        <v>270</v>
      </c>
    </row>
    <row r="159" spans="1:8" s="435" customFormat="1" ht="37.5">
      <c r="A159" s="423"/>
      <c r="B159" s="459" t="s">
        <v>823</v>
      </c>
      <c r="C159" s="194" t="s">
        <v>119</v>
      </c>
      <c r="D159" s="195" t="s">
        <v>98</v>
      </c>
      <c r="E159" s="195" t="s">
        <v>121</v>
      </c>
      <c r="F159" s="196" t="s">
        <v>822</v>
      </c>
      <c r="G159" s="197"/>
      <c r="H159" s="437">
        <f>H160</f>
        <v>270</v>
      </c>
    </row>
    <row r="160" spans="1:8" s="435" customFormat="1" ht="56.25">
      <c r="A160" s="423"/>
      <c r="B160" s="492" t="s">
        <v>135</v>
      </c>
      <c r="C160" s="194" t="s">
        <v>119</v>
      </c>
      <c r="D160" s="195" t="s">
        <v>98</v>
      </c>
      <c r="E160" s="195" t="s">
        <v>121</v>
      </c>
      <c r="F160" s="196" t="s">
        <v>822</v>
      </c>
      <c r="G160" s="197" t="s">
        <v>136</v>
      </c>
      <c r="H160" s="437">
        <f>'прил12(ведом 19)'!M521</f>
        <v>270</v>
      </c>
    </row>
    <row r="161" spans="1:8" ht="37.5">
      <c r="A161" s="423"/>
      <c r="B161" s="436" t="s">
        <v>468</v>
      </c>
      <c r="C161" s="448" t="s">
        <v>119</v>
      </c>
      <c r="D161" s="449" t="s">
        <v>150</v>
      </c>
      <c r="E161" s="449" t="s">
        <v>96</v>
      </c>
      <c r="F161" s="196" t="s">
        <v>97</v>
      </c>
      <c r="G161" s="451"/>
      <c r="H161" s="437">
        <f>H162</f>
        <v>1020.8</v>
      </c>
    </row>
    <row r="162" spans="1:8" ht="93.75">
      <c r="A162" s="423"/>
      <c r="B162" s="438" t="s">
        <v>461</v>
      </c>
      <c r="C162" s="448" t="s">
        <v>119</v>
      </c>
      <c r="D162" s="449" t="s">
        <v>150</v>
      </c>
      <c r="E162" s="449" t="s">
        <v>119</v>
      </c>
      <c r="F162" s="196" t="s">
        <v>97</v>
      </c>
      <c r="G162" s="451"/>
      <c r="H162" s="437">
        <f>H163+H166</f>
        <v>1020.8</v>
      </c>
    </row>
    <row r="163" spans="1:8" ht="37.5">
      <c r="A163" s="423"/>
      <c r="B163" s="438" t="s">
        <v>455</v>
      </c>
      <c r="C163" s="448" t="s">
        <v>119</v>
      </c>
      <c r="D163" s="449" t="s">
        <v>150</v>
      </c>
      <c r="E163" s="449" t="s">
        <v>119</v>
      </c>
      <c r="F163" s="450" t="s">
        <v>456</v>
      </c>
      <c r="G163" s="422"/>
      <c r="H163" s="437">
        <f>SUM(H164:H165)</f>
        <v>978.69399999999996</v>
      </c>
    </row>
    <row r="164" spans="1:8" ht="37.5">
      <c r="A164" s="423"/>
      <c r="B164" s="397" t="s">
        <v>108</v>
      </c>
      <c r="C164" s="194" t="s">
        <v>119</v>
      </c>
      <c r="D164" s="195" t="s">
        <v>150</v>
      </c>
      <c r="E164" s="195" t="s">
        <v>119</v>
      </c>
      <c r="F164" s="196" t="s">
        <v>456</v>
      </c>
      <c r="G164" s="197" t="s">
        <v>109</v>
      </c>
      <c r="H164" s="437">
        <f>'прил12(ведом 19)'!M562</f>
        <v>960.8</v>
      </c>
    </row>
    <row r="165" spans="1:8" ht="56.25">
      <c r="A165" s="423"/>
      <c r="B165" s="438" t="s">
        <v>135</v>
      </c>
      <c r="C165" s="194" t="s">
        <v>119</v>
      </c>
      <c r="D165" s="195" t="s">
        <v>150</v>
      </c>
      <c r="E165" s="195" t="s">
        <v>119</v>
      </c>
      <c r="F165" s="196" t="s">
        <v>456</v>
      </c>
      <c r="G165" s="197" t="s">
        <v>136</v>
      </c>
      <c r="H165" s="437">
        <f>'прил12(ведом 19)'!M549</f>
        <v>17.893999999999998</v>
      </c>
    </row>
    <row r="166" spans="1:8" ht="56.25">
      <c r="A166" s="423"/>
      <c r="B166" s="438" t="s">
        <v>864</v>
      </c>
      <c r="C166" s="194" t="s">
        <v>119</v>
      </c>
      <c r="D166" s="195" t="s">
        <v>150</v>
      </c>
      <c r="E166" s="195" t="s">
        <v>119</v>
      </c>
      <c r="F166" s="196" t="s">
        <v>865</v>
      </c>
      <c r="G166" s="197"/>
      <c r="H166" s="437">
        <f>H167</f>
        <v>42.106000000000002</v>
      </c>
    </row>
    <row r="167" spans="1:8" ht="38.450000000000003" customHeight="1">
      <c r="A167" s="423"/>
      <c r="B167" s="438" t="s">
        <v>135</v>
      </c>
      <c r="C167" s="194" t="s">
        <v>119</v>
      </c>
      <c r="D167" s="195" t="s">
        <v>150</v>
      </c>
      <c r="E167" s="195" t="s">
        <v>119</v>
      </c>
      <c r="F167" s="196" t="s">
        <v>865</v>
      </c>
      <c r="G167" s="197" t="s">
        <v>136</v>
      </c>
      <c r="H167" s="437">
        <f>'прил12(ведом 19)'!M551</f>
        <v>42.106000000000002</v>
      </c>
    </row>
    <row r="168" spans="1:8" s="435" customFormat="1" ht="56.25">
      <c r="A168" s="423"/>
      <c r="B168" s="436" t="s">
        <v>296</v>
      </c>
      <c r="C168" s="194" t="s">
        <v>119</v>
      </c>
      <c r="D168" s="195" t="s">
        <v>83</v>
      </c>
      <c r="E168" s="195" t="s">
        <v>96</v>
      </c>
      <c r="F168" s="196" t="s">
        <v>97</v>
      </c>
      <c r="G168" s="422"/>
      <c r="H168" s="437">
        <f>H169</f>
        <v>8856.4</v>
      </c>
    </row>
    <row r="169" spans="1:8" s="435" customFormat="1" ht="37.5">
      <c r="A169" s="423"/>
      <c r="B169" s="436" t="s">
        <v>389</v>
      </c>
      <c r="C169" s="194" t="s">
        <v>119</v>
      </c>
      <c r="D169" s="195" t="s">
        <v>83</v>
      </c>
      <c r="E169" s="195" t="s">
        <v>90</v>
      </c>
      <c r="F169" s="196" t="s">
        <v>97</v>
      </c>
      <c r="G169" s="197"/>
      <c r="H169" s="437">
        <f>H170+H174</f>
        <v>8856.4</v>
      </c>
    </row>
    <row r="170" spans="1:8" ht="37.5">
      <c r="A170" s="423"/>
      <c r="B170" s="436" t="s">
        <v>100</v>
      </c>
      <c r="C170" s="194" t="s">
        <v>119</v>
      </c>
      <c r="D170" s="195" t="s">
        <v>83</v>
      </c>
      <c r="E170" s="195" t="s">
        <v>90</v>
      </c>
      <c r="F170" s="196" t="s">
        <v>101</v>
      </c>
      <c r="G170" s="451"/>
      <c r="H170" s="437">
        <f>SUM(H171:H173)</f>
        <v>2800.2</v>
      </c>
    </row>
    <row r="171" spans="1:8" ht="93.75">
      <c r="A171" s="423"/>
      <c r="B171" s="436" t="s">
        <v>102</v>
      </c>
      <c r="C171" s="194" t="s">
        <v>119</v>
      </c>
      <c r="D171" s="195" t="s">
        <v>83</v>
      </c>
      <c r="E171" s="195" t="s">
        <v>90</v>
      </c>
      <c r="F171" s="196" t="s">
        <v>101</v>
      </c>
      <c r="G171" s="451" t="s">
        <v>103</v>
      </c>
      <c r="H171" s="437">
        <f>'прил12(ведом 19)'!M566</f>
        <v>2524.5</v>
      </c>
    </row>
    <row r="172" spans="1:8" ht="37.5">
      <c r="A172" s="423"/>
      <c r="B172" s="436" t="s">
        <v>108</v>
      </c>
      <c r="C172" s="194" t="s">
        <v>119</v>
      </c>
      <c r="D172" s="195" t="s">
        <v>83</v>
      </c>
      <c r="E172" s="195" t="s">
        <v>90</v>
      </c>
      <c r="F172" s="196" t="s">
        <v>101</v>
      </c>
      <c r="G172" s="451" t="s">
        <v>109</v>
      </c>
      <c r="H172" s="437">
        <f>'прил12(ведом 19)'!M567</f>
        <v>271.2</v>
      </c>
    </row>
    <row r="173" spans="1:8" ht="18.75">
      <c r="A173" s="423"/>
      <c r="B173" s="436" t="s">
        <v>110</v>
      </c>
      <c r="C173" s="194" t="s">
        <v>119</v>
      </c>
      <c r="D173" s="195" t="s">
        <v>83</v>
      </c>
      <c r="E173" s="195" t="s">
        <v>90</v>
      </c>
      <c r="F173" s="196" t="s">
        <v>101</v>
      </c>
      <c r="G173" s="197" t="s">
        <v>111</v>
      </c>
      <c r="H173" s="437">
        <f>'прил12(ведом 19)'!M568</f>
        <v>4.5</v>
      </c>
    </row>
    <row r="174" spans="1:8" ht="75">
      <c r="A174" s="423"/>
      <c r="B174" s="445" t="s">
        <v>458</v>
      </c>
      <c r="C174" s="194" t="s">
        <v>119</v>
      </c>
      <c r="D174" s="195" t="s">
        <v>83</v>
      </c>
      <c r="E174" s="195" t="s">
        <v>90</v>
      </c>
      <c r="F174" s="196" t="s">
        <v>153</v>
      </c>
      <c r="G174" s="197"/>
      <c r="H174" s="437">
        <f>SUM(H175:H177)</f>
        <v>6056.2</v>
      </c>
    </row>
    <row r="175" spans="1:8" ht="93.75">
      <c r="A175" s="423"/>
      <c r="B175" s="436" t="s">
        <v>102</v>
      </c>
      <c r="C175" s="194" t="s">
        <v>119</v>
      </c>
      <c r="D175" s="195" t="s">
        <v>83</v>
      </c>
      <c r="E175" s="195" t="s">
        <v>90</v>
      </c>
      <c r="F175" s="196" t="s">
        <v>153</v>
      </c>
      <c r="G175" s="451" t="s">
        <v>103</v>
      </c>
      <c r="H175" s="437">
        <f>'прил12(ведом 19)'!M570</f>
        <v>5534.2</v>
      </c>
    </row>
    <row r="176" spans="1:8" ht="37.5">
      <c r="A176" s="423"/>
      <c r="B176" s="436" t="s">
        <v>108</v>
      </c>
      <c r="C176" s="194" t="s">
        <v>119</v>
      </c>
      <c r="D176" s="195" t="s">
        <v>83</v>
      </c>
      <c r="E176" s="195" t="s">
        <v>90</v>
      </c>
      <c r="F176" s="196" t="s">
        <v>153</v>
      </c>
      <c r="G176" s="451" t="s">
        <v>109</v>
      </c>
      <c r="H176" s="437">
        <f>'прил12(ведом 19)'!M571</f>
        <v>520.20000000000005</v>
      </c>
    </row>
    <row r="177" spans="1:8" ht="18.75">
      <c r="A177" s="423"/>
      <c r="B177" s="436" t="s">
        <v>110</v>
      </c>
      <c r="C177" s="194" t="s">
        <v>119</v>
      </c>
      <c r="D177" s="195" t="s">
        <v>83</v>
      </c>
      <c r="E177" s="195" t="s">
        <v>90</v>
      </c>
      <c r="F177" s="196" t="s">
        <v>153</v>
      </c>
      <c r="G177" s="197" t="s">
        <v>111</v>
      </c>
      <c r="H177" s="437">
        <f>'прил12(ведом 19)'!M572</f>
        <v>1.8</v>
      </c>
    </row>
    <row r="178" spans="1:8" ht="18.75">
      <c r="A178" s="423"/>
      <c r="B178" s="440"/>
      <c r="C178" s="452"/>
      <c r="D178" s="452"/>
      <c r="E178" s="453"/>
      <c r="F178" s="454"/>
      <c r="G178" s="422"/>
      <c r="H178" s="437"/>
    </row>
    <row r="179" spans="1:8" s="435" customFormat="1" ht="56.25">
      <c r="A179" s="441">
        <v>3</v>
      </c>
      <c r="B179" s="455" t="s">
        <v>297</v>
      </c>
      <c r="C179" s="442" t="s">
        <v>105</v>
      </c>
      <c r="D179" s="442" t="s">
        <v>95</v>
      </c>
      <c r="E179" s="442" t="s">
        <v>96</v>
      </c>
      <c r="F179" s="443" t="s">
        <v>97</v>
      </c>
      <c r="G179" s="433"/>
      <c r="H179" s="434">
        <f>H180+H188+H204</f>
        <v>52922.173299999995</v>
      </c>
    </row>
    <row r="180" spans="1:8" ht="37.5">
      <c r="A180" s="423"/>
      <c r="B180" s="444" t="s">
        <v>298</v>
      </c>
      <c r="C180" s="194" t="s">
        <v>105</v>
      </c>
      <c r="D180" s="195" t="s">
        <v>98</v>
      </c>
      <c r="E180" s="195" t="s">
        <v>96</v>
      </c>
      <c r="F180" s="196" t="s">
        <v>97</v>
      </c>
      <c r="G180" s="422"/>
      <c r="H180" s="437">
        <f>H181+H184</f>
        <v>868.09999999999991</v>
      </c>
    </row>
    <row r="181" spans="1:8" ht="18.75">
      <c r="A181" s="423"/>
      <c r="B181" s="436" t="s">
        <v>384</v>
      </c>
      <c r="C181" s="194" t="s">
        <v>105</v>
      </c>
      <c r="D181" s="195" t="s">
        <v>98</v>
      </c>
      <c r="E181" s="195" t="s">
        <v>90</v>
      </c>
      <c r="F181" s="196" t="s">
        <v>97</v>
      </c>
      <c r="G181" s="422"/>
      <c r="H181" s="437">
        <f>H182</f>
        <v>171</v>
      </c>
    </row>
    <row r="182" spans="1:8" ht="37.5">
      <c r="A182" s="423"/>
      <c r="B182" s="436" t="s">
        <v>385</v>
      </c>
      <c r="C182" s="194" t="s">
        <v>105</v>
      </c>
      <c r="D182" s="195" t="s">
        <v>98</v>
      </c>
      <c r="E182" s="195" t="s">
        <v>90</v>
      </c>
      <c r="F182" s="196" t="s">
        <v>386</v>
      </c>
      <c r="G182" s="197"/>
      <c r="H182" s="437">
        <f>H183</f>
        <v>171</v>
      </c>
    </row>
    <row r="183" spans="1:8" ht="37.5">
      <c r="A183" s="423"/>
      <c r="B183" s="436" t="s">
        <v>183</v>
      </c>
      <c r="C183" s="194" t="s">
        <v>105</v>
      </c>
      <c r="D183" s="195" t="s">
        <v>98</v>
      </c>
      <c r="E183" s="195" t="s">
        <v>90</v>
      </c>
      <c r="F183" s="196" t="s">
        <v>386</v>
      </c>
      <c r="G183" s="197" t="s">
        <v>184</v>
      </c>
      <c r="H183" s="437">
        <f>'прил12(ведом 19)'!M581</f>
        <v>171</v>
      </c>
    </row>
    <row r="184" spans="1:8" ht="56.25">
      <c r="A184" s="423"/>
      <c r="B184" s="436" t="s">
        <v>399</v>
      </c>
      <c r="C184" s="194" t="s">
        <v>105</v>
      </c>
      <c r="D184" s="195" t="s">
        <v>98</v>
      </c>
      <c r="E184" s="195" t="s">
        <v>92</v>
      </c>
      <c r="F184" s="196" t="s">
        <v>97</v>
      </c>
      <c r="G184" s="197"/>
      <c r="H184" s="437">
        <f>H185</f>
        <v>697.09999999999991</v>
      </c>
    </row>
    <row r="185" spans="1:8" ht="56.25">
      <c r="A185" s="423"/>
      <c r="B185" s="436" t="s">
        <v>299</v>
      </c>
      <c r="C185" s="194" t="s">
        <v>105</v>
      </c>
      <c r="D185" s="195" t="s">
        <v>98</v>
      </c>
      <c r="E185" s="195" t="s">
        <v>92</v>
      </c>
      <c r="F185" s="196" t="s">
        <v>400</v>
      </c>
      <c r="G185" s="197"/>
      <c r="H185" s="437">
        <f>SUM(H186:H187)</f>
        <v>697.09999999999991</v>
      </c>
    </row>
    <row r="186" spans="1:8" ht="93.75">
      <c r="A186" s="423"/>
      <c r="B186" s="397" t="s">
        <v>102</v>
      </c>
      <c r="C186" s="194" t="s">
        <v>105</v>
      </c>
      <c r="D186" s="195" t="s">
        <v>98</v>
      </c>
      <c r="E186" s="195" t="s">
        <v>92</v>
      </c>
      <c r="F186" s="196" t="s">
        <v>400</v>
      </c>
      <c r="G186" s="197" t="s">
        <v>103</v>
      </c>
      <c r="H186" s="437">
        <f>'прил12(ведом 19)'!M598</f>
        <v>649.79999999999995</v>
      </c>
    </row>
    <row r="187" spans="1:8" ht="37.5">
      <c r="A187" s="423"/>
      <c r="B187" s="436" t="s">
        <v>108</v>
      </c>
      <c r="C187" s="194" t="s">
        <v>105</v>
      </c>
      <c r="D187" s="195" t="s">
        <v>98</v>
      </c>
      <c r="E187" s="195" t="s">
        <v>92</v>
      </c>
      <c r="F187" s="196" t="s">
        <v>400</v>
      </c>
      <c r="G187" s="197" t="s">
        <v>109</v>
      </c>
      <c r="H187" s="437">
        <f>'прил12(ведом 19)'!M599</f>
        <v>47.3</v>
      </c>
    </row>
    <row r="188" spans="1:8" ht="37.5">
      <c r="A188" s="423"/>
      <c r="B188" s="436" t="s">
        <v>300</v>
      </c>
      <c r="C188" s="194" t="s">
        <v>105</v>
      </c>
      <c r="D188" s="195" t="s">
        <v>150</v>
      </c>
      <c r="E188" s="195" t="s">
        <v>96</v>
      </c>
      <c r="F188" s="196" t="s">
        <v>97</v>
      </c>
      <c r="G188" s="422"/>
      <c r="H188" s="437">
        <f>H189+H194</f>
        <v>25384.173299999995</v>
      </c>
    </row>
    <row r="189" spans="1:8" ht="37.5">
      <c r="A189" s="423"/>
      <c r="B189" s="436" t="s">
        <v>389</v>
      </c>
      <c r="C189" s="194" t="s">
        <v>105</v>
      </c>
      <c r="D189" s="195" t="s">
        <v>150</v>
      </c>
      <c r="E189" s="195" t="s">
        <v>90</v>
      </c>
      <c r="F189" s="196" t="s">
        <v>97</v>
      </c>
      <c r="G189" s="197"/>
      <c r="H189" s="437">
        <f>H190</f>
        <v>2350.1</v>
      </c>
    </row>
    <row r="190" spans="1:8" ht="37.5">
      <c r="A190" s="423"/>
      <c r="B190" s="436" t="s">
        <v>100</v>
      </c>
      <c r="C190" s="194" t="s">
        <v>105</v>
      </c>
      <c r="D190" s="195" t="s">
        <v>150</v>
      </c>
      <c r="E190" s="195" t="s">
        <v>90</v>
      </c>
      <c r="F190" s="196" t="s">
        <v>101</v>
      </c>
      <c r="G190" s="197"/>
      <c r="H190" s="437">
        <f>SUM(H191:H193)</f>
        <v>2350.1</v>
      </c>
    </row>
    <row r="191" spans="1:8" ht="93.75">
      <c r="A191" s="423"/>
      <c r="B191" s="436" t="s">
        <v>102</v>
      </c>
      <c r="C191" s="194" t="s">
        <v>105</v>
      </c>
      <c r="D191" s="195" t="s">
        <v>150</v>
      </c>
      <c r="E191" s="195" t="s">
        <v>90</v>
      </c>
      <c r="F191" s="196" t="s">
        <v>101</v>
      </c>
      <c r="G191" s="197" t="s">
        <v>103</v>
      </c>
      <c r="H191" s="437">
        <f>'прил12(ведом 19)'!M609</f>
        <v>2262.1</v>
      </c>
    </row>
    <row r="192" spans="1:8" ht="37.5">
      <c r="A192" s="423"/>
      <c r="B192" s="436" t="s">
        <v>108</v>
      </c>
      <c r="C192" s="194" t="s">
        <v>105</v>
      </c>
      <c r="D192" s="195" t="s">
        <v>150</v>
      </c>
      <c r="E192" s="195" t="s">
        <v>90</v>
      </c>
      <c r="F192" s="196" t="s">
        <v>101</v>
      </c>
      <c r="G192" s="197" t="s">
        <v>109</v>
      </c>
      <c r="H192" s="437">
        <f>'прил12(ведом 19)'!M610</f>
        <v>85.8</v>
      </c>
    </row>
    <row r="193" spans="1:8" ht="18.75">
      <c r="A193" s="423"/>
      <c r="B193" s="436" t="s">
        <v>110</v>
      </c>
      <c r="C193" s="194" t="s">
        <v>105</v>
      </c>
      <c r="D193" s="195" t="s">
        <v>150</v>
      </c>
      <c r="E193" s="195" t="s">
        <v>90</v>
      </c>
      <c r="F193" s="196" t="s">
        <v>101</v>
      </c>
      <c r="G193" s="197" t="s">
        <v>111</v>
      </c>
      <c r="H193" s="437">
        <f>'прил12(ведом 19)'!M611</f>
        <v>2.2000000000000002</v>
      </c>
    </row>
    <row r="194" spans="1:8" ht="18.75">
      <c r="A194" s="423"/>
      <c r="B194" s="436" t="s">
        <v>541</v>
      </c>
      <c r="C194" s="194" t="s">
        <v>105</v>
      </c>
      <c r="D194" s="195" t="s">
        <v>150</v>
      </c>
      <c r="E194" s="195" t="s">
        <v>92</v>
      </c>
      <c r="F194" s="196" t="s">
        <v>97</v>
      </c>
      <c r="G194" s="197"/>
      <c r="H194" s="437">
        <f>H195+H199+H201</f>
        <v>23034.073299999996</v>
      </c>
    </row>
    <row r="195" spans="1:8" ht="75">
      <c r="A195" s="423"/>
      <c r="B195" s="436" t="s">
        <v>151</v>
      </c>
      <c r="C195" s="194" t="s">
        <v>105</v>
      </c>
      <c r="D195" s="195" t="s">
        <v>150</v>
      </c>
      <c r="E195" s="195" t="s">
        <v>92</v>
      </c>
      <c r="F195" s="196" t="s">
        <v>153</v>
      </c>
      <c r="G195" s="197"/>
      <c r="H195" s="437">
        <f>SUM(H196:H198)</f>
        <v>22260.973299999998</v>
      </c>
    </row>
    <row r="196" spans="1:8" ht="93.75">
      <c r="A196" s="423"/>
      <c r="B196" s="436" t="s">
        <v>102</v>
      </c>
      <c r="C196" s="194" t="s">
        <v>105</v>
      </c>
      <c r="D196" s="195" t="s">
        <v>150</v>
      </c>
      <c r="E196" s="195" t="s">
        <v>92</v>
      </c>
      <c r="F196" s="196" t="s">
        <v>153</v>
      </c>
      <c r="G196" s="197" t="s">
        <v>103</v>
      </c>
      <c r="H196" s="437">
        <f>'прил12(ведом 19)'!M585</f>
        <v>20312.5733</v>
      </c>
    </row>
    <row r="197" spans="1:8" ht="37.5">
      <c r="A197" s="423"/>
      <c r="B197" s="436" t="s">
        <v>108</v>
      </c>
      <c r="C197" s="194" t="s">
        <v>105</v>
      </c>
      <c r="D197" s="195" t="s">
        <v>150</v>
      </c>
      <c r="E197" s="195" t="s">
        <v>92</v>
      </c>
      <c r="F197" s="196" t="s">
        <v>153</v>
      </c>
      <c r="G197" s="197" t="s">
        <v>109</v>
      </c>
      <c r="H197" s="437">
        <f>'прил12(ведом 19)'!M586</f>
        <v>1857.3000000000002</v>
      </c>
    </row>
    <row r="198" spans="1:8" ht="18.75">
      <c r="A198" s="423"/>
      <c r="B198" s="436" t="s">
        <v>110</v>
      </c>
      <c r="C198" s="194" t="s">
        <v>105</v>
      </c>
      <c r="D198" s="195" t="s">
        <v>150</v>
      </c>
      <c r="E198" s="195" t="s">
        <v>92</v>
      </c>
      <c r="F198" s="196" t="s">
        <v>153</v>
      </c>
      <c r="G198" s="197" t="s">
        <v>111</v>
      </c>
      <c r="H198" s="437">
        <f>'прил12(ведом 19)'!M587</f>
        <v>91.100000000000222</v>
      </c>
    </row>
    <row r="199" spans="1:8" ht="37.5">
      <c r="A199" s="423"/>
      <c r="B199" s="397" t="s">
        <v>619</v>
      </c>
      <c r="C199" s="194" t="s">
        <v>105</v>
      </c>
      <c r="D199" s="195" t="s">
        <v>150</v>
      </c>
      <c r="E199" s="195" t="s">
        <v>92</v>
      </c>
      <c r="F199" s="196" t="s">
        <v>618</v>
      </c>
      <c r="G199" s="197"/>
      <c r="H199" s="437">
        <f>H200</f>
        <v>619.99999999999955</v>
      </c>
    </row>
    <row r="200" spans="1:8" ht="37.5">
      <c r="A200" s="423"/>
      <c r="B200" s="397" t="s">
        <v>108</v>
      </c>
      <c r="C200" s="194" t="s">
        <v>105</v>
      </c>
      <c r="D200" s="195" t="s">
        <v>150</v>
      </c>
      <c r="E200" s="195" t="s">
        <v>92</v>
      </c>
      <c r="F200" s="196" t="s">
        <v>618</v>
      </c>
      <c r="G200" s="197" t="s">
        <v>109</v>
      </c>
      <c r="H200" s="437">
        <f>'прил12(ведом 19)'!M589</f>
        <v>619.99999999999955</v>
      </c>
    </row>
    <row r="201" spans="1:8" ht="56.25">
      <c r="A201" s="423"/>
      <c r="B201" s="397" t="s">
        <v>299</v>
      </c>
      <c r="C201" s="194" t="s">
        <v>105</v>
      </c>
      <c r="D201" s="195" t="s">
        <v>150</v>
      </c>
      <c r="E201" s="195" t="s">
        <v>92</v>
      </c>
      <c r="F201" s="196" t="s">
        <v>400</v>
      </c>
      <c r="G201" s="197"/>
      <c r="H201" s="437">
        <f>H203+H202</f>
        <v>153.1</v>
      </c>
    </row>
    <row r="202" spans="1:8" ht="93.75">
      <c r="A202" s="423"/>
      <c r="B202" s="397" t="s">
        <v>102</v>
      </c>
      <c r="C202" s="194" t="s">
        <v>105</v>
      </c>
      <c r="D202" s="195" t="s">
        <v>150</v>
      </c>
      <c r="E202" s="195" t="s">
        <v>92</v>
      </c>
      <c r="F202" s="196" t="s">
        <v>400</v>
      </c>
      <c r="G202" s="197" t="s">
        <v>103</v>
      </c>
      <c r="H202" s="437">
        <f>'прил12(ведом 19)'!M591</f>
        <v>14</v>
      </c>
    </row>
    <row r="203" spans="1:8" ht="37.5">
      <c r="A203" s="423"/>
      <c r="B203" s="397" t="s">
        <v>108</v>
      </c>
      <c r="C203" s="194" t="s">
        <v>105</v>
      </c>
      <c r="D203" s="195" t="s">
        <v>150</v>
      </c>
      <c r="E203" s="195" t="s">
        <v>92</v>
      </c>
      <c r="F203" s="196" t="s">
        <v>400</v>
      </c>
      <c r="G203" s="197" t="s">
        <v>109</v>
      </c>
      <c r="H203" s="437">
        <f>'прил12(ведом 19)'!M592</f>
        <v>139.1</v>
      </c>
    </row>
    <row r="204" spans="1:8" ht="37.5">
      <c r="A204" s="423"/>
      <c r="B204" s="436" t="s">
        <v>491</v>
      </c>
      <c r="C204" s="401" t="s">
        <v>105</v>
      </c>
      <c r="D204" s="456" t="s">
        <v>84</v>
      </c>
      <c r="E204" s="195" t="s">
        <v>96</v>
      </c>
      <c r="F204" s="196" t="s">
        <v>97</v>
      </c>
      <c r="G204" s="457"/>
      <c r="H204" s="437">
        <f>H210+H205</f>
        <v>26669.899999999998</v>
      </c>
    </row>
    <row r="205" spans="1:8" ht="56.25">
      <c r="A205" s="423"/>
      <c r="B205" s="397" t="s">
        <v>836</v>
      </c>
      <c r="C205" s="194" t="s">
        <v>105</v>
      </c>
      <c r="D205" s="195" t="s">
        <v>84</v>
      </c>
      <c r="E205" s="195" t="s">
        <v>119</v>
      </c>
      <c r="F205" s="196" t="s">
        <v>97</v>
      </c>
      <c r="G205" s="197"/>
      <c r="H205" s="437">
        <f>H206+H208</f>
        <v>25646.699999999997</v>
      </c>
    </row>
    <row r="206" spans="1:8" ht="56.25">
      <c r="A206" s="423"/>
      <c r="B206" s="397" t="s">
        <v>299</v>
      </c>
      <c r="C206" s="194" t="s">
        <v>105</v>
      </c>
      <c r="D206" s="195" t="s">
        <v>84</v>
      </c>
      <c r="E206" s="195" t="s">
        <v>119</v>
      </c>
      <c r="F206" s="196" t="s">
        <v>400</v>
      </c>
      <c r="G206" s="197"/>
      <c r="H206" s="437">
        <f>H207</f>
        <v>555.10000000000014</v>
      </c>
    </row>
    <row r="207" spans="1:8" ht="37.5">
      <c r="A207" s="423"/>
      <c r="B207" s="149" t="s">
        <v>282</v>
      </c>
      <c r="C207" s="194" t="s">
        <v>105</v>
      </c>
      <c r="D207" s="195" t="s">
        <v>84</v>
      </c>
      <c r="E207" s="195" t="s">
        <v>119</v>
      </c>
      <c r="F207" s="196" t="s">
        <v>400</v>
      </c>
      <c r="G207" s="197" t="s">
        <v>283</v>
      </c>
      <c r="H207" s="437">
        <f>'прил12(ведом 19)'!M357</f>
        <v>555.10000000000014</v>
      </c>
    </row>
    <row r="208" spans="1:8" ht="37.5">
      <c r="A208" s="423"/>
      <c r="B208" s="149" t="s">
        <v>854</v>
      </c>
      <c r="C208" s="194" t="s">
        <v>105</v>
      </c>
      <c r="D208" s="195" t="s">
        <v>84</v>
      </c>
      <c r="E208" s="195" t="s">
        <v>119</v>
      </c>
      <c r="F208" s="196" t="s">
        <v>845</v>
      </c>
      <c r="G208" s="197"/>
      <c r="H208" s="437">
        <f>H209</f>
        <v>25091.599999999999</v>
      </c>
    </row>
    <row r="209" spans="1:8" ht="37.5">
      <c r="A209" s="423"/>
      <c r="B209" s="149" t="s">
        <v>282</v>
      </c>
      <c r="C209" s="194" t="s">
        <v>105</v>
      </c>
      <c r="D209" s="195" t="s">
        <v>84</v>
      </c>
      <c r="E209" s="195" t="s">
        <v>119</v>
      </c>
      <c r="F209" s="196" t="s">
        <v>845</v>
      </c>
      <c r="G209" s="197" t="s">
        <v>283</v>
      </c>
      <c r="H209" s="437">
        <f>'прил12(ведом 19)'!M359</f>
        <v>25091.599999999999</v>
      </c>
    </row>
    <row r="210" spans="1:8" ht="75">
      <c r="A210" s="423"/>
      <c r="B210" s="397" t="s">
        <v>574</v>
      </c>
      <c r="C210" s="194" t="s">
        <v>105</v>
      </c>
      <c r="D210" s="195" t="s">
        <v>84</v>
      </c>
      <c r="E210" s="195" t="s">
        <v>105</v>
      </c>
      <c r="F210" s="196" t="s">
        <v>97</v>
      </c>
      <c r="G210" s="197"/>
      <c r="H210" s="437">
        <f>H211</f>
        <v>1023.2</v>
      </c>
    </row>
    <row r="211" spans="1:8" ht="37.5">
      <c r="A211" s="423"/>
      <c r="B211" s="397" t="s">
        <v>133</v>
      </c>
      <c r="C211" s="194" t="s">
        <v>105</v>
      </c>
      <c r="D211" s="195" t="s">
        <v>84</v>
      </c>
      <c r="E211" s="195" t="s">
        <v>105</v>
      </c>
      <c r="F211" s="196" t="s">
        <v>134</v>
      </c>
      <c r="G211" s="197"/>
      <c r="H211" s="437">
        <f>H212</f>
        <v>1023.2</v>
      </c>
    </row>
    <row r="212" spans="1:8" ht="56.25">
      <c r="A212" s="423"/>
      <c r="B212" s="400" t="s">
        <v>135</v>
      </c>
      <c r="C212" s="194" t="s">
        <v>105</v>
      </c>
      <c r="D212" s="195" t="s">
        <v>84</v>
      </c>
      <c r="E212" s="195" t="s">
        <v>105</v>
      </c>
      <c r="F212" s="196" t="s">
        <v>134</v>
      </c>
      <c r="G212" s="197" t="s">
        <v>136</v>
      </c>
      <c r="H212" s="437">
        <f>'прил12(ведом 19)'!M603</f>
        <v>1023.2</v>
      </c>
    </row>
    <row r="213" spans="1:8" ht="18.75">
      <c r="A213" s="423"/>
      <c r="B213" s="440"/>
      <c r="C213" s="552"/>
      <c r="D213" s="553"/>
      <c r="E213" s="553"/>
      <c r="F213" s="554"/>
      <c r="G213" s="422"/>
      <c r="H213" s="437"/>
    </row>
    <row r="214" spans="1:8" s="435" customFormat="1" ht="56.25">
      <c r="A214" s="441">
        <v>4</v>
      </c>
      <c r="B214" s="430" t="s">
        <v>301</v>
      </c>
      <c r="C214" s="431" t="s">
        <v>121</v>
      </c>
      <c r="D214" s="431" t="s">
        <v>95</v>
      </c>
      <c r="E214" s="431" t="s">
        <v>96</v>
      </c>
      <c r="F214" s="432" t="s">
        <v>97</v>
      </c>
      <c r="G214" s="433"/>
      <c r="H214" s="434">
        <f>H215+H222</f>
        <v>5680.2</v>
      </c>
    </row>
    <row r="215" spans="1:8" s="435" customFormat="1" ht="18.75">
      <c r="A215" s="423"/>
      <c r="B215" s="436" t="s">
        <v>302</v>
      </c>
      <c r="C215" s="194" t="s">
        <v>121</v>
      </c>
      <c r="D215" s="195" t="s">
        <v>98</v>
      </c>
      <c r="E215" s="195" t="s">
        <v>96</v>
      </c>
      <c r="F215" s="196" t="s">
        <v>97</v>
      </c>
      <c r="G215" s="422"/>
      <c r="H215" s="437">
        <f>H216</f>
        <v>2751.7</v>
      </c>
    </row>
    <row r="216" spans="1:8" s="435" customFormat="1" ht="75">
      <c r="A216" s="423"/>
      <c r="B216" s="436" t="s">
        <v>395</v>
      </c>
      <c r="C216" s="194" t="s">
        <v>121</v>
      </c>
      <c r="D216" s="195" t="s">
        <v>98</v>
      </c>
      <c r="E216" s="195" t="s">
        <v>90</v>
      </c>
      <c r="F216" s="196" t="s">
        <v>97</v>
      </c>
      <c r="G216" s="197"/>
      <c r="H216" s="437">
        <f>H217+H220</f>
        <v>2751.7</v>
      </c>
    </row>
    <row r="217" spans="1:8" ht="75">
      <c r="A217" s="423"/>
      <c r="B217" s="436" t="s">
        <v>151</v>
      </c>
      <c r="C217" s="194" t="s">
        <v>121</v>
      </c>
      <c r="D217" s="195" t="s">
        <v>98</v>
      </c>
      <c r="E217" s="195" t="s">
        <v>90</v>
      </c>
      <c r="F217" s="196" t="s">
        <v>153</v>
      </c>
      <c r="G217" s="197"/>
      <c r="H217" s="437">
        <f>H218+H219</f>
        <v>2141.9</v>
      </c>
    </row>
    <row r="218" spans="1:8" ht="93.75">
      <c r="A218" s="423"/>
      <c r="B218" s="436" t="s">
        <v>102</v>
      </c>
      <c r="C218" s="194" t="s">
        <v>121</v>
      </c>
      <c r="D218" s="195" t="s">
        <v>98</v>
      </c>
      <c r="E218" s="195" t="s">
        <v>90</v>
      </c>
      <c r="F218" s="196" t="s">
        <v>153</v>
      </c>
      <c r="G218" s="197" t="s">
        <v>103</v>
      </c>
      <c r="H218" s="437">
        <f>'прил12(ведом 19)'!M620</f>
        <v>2114.5</v>
      </c>
    </row>
    <row r="219" spans="1:8" ht="37.5">
      <c r="A219" s="423"/>
      <c r="B219" s="436" t="s">
        <v>108</v>
      </c>
      <c r="C219" s="194" t="s">
        <v>121</v>
      </c>
      <c r="D219" s="195" t="s">
        <v>98</v>
      </c>
      <c r="E219" s="195" t="s">
        <v>90</v>
      </c>
      <c r="F219" s="196" t="s">
        <v>153</v>
      </c>
      <c r="G219" s="197" t="s">
        <v>109</v>
      </c>
      <c r="H219" s="437">
        <f>'прил12(ведом 19)'!M621</f>
        <v>27.4</v>
      </c>
    </row>
    <row r="220" spans="1:8" ht="37.5">
      <c r="A220" s="423"/>
      <c r="B220" s="436" t="s">
        <v>396</v>
      </c>
      <c r="C220" s="194" t="s">
        <v>121</v>
      </c>
      <c r="D220" s="195" t="s">
        <v>98</v>
      </c>
      <c r="E220" s="195" t="s">
        <v>90</v>
      </c>
      <c r="F220" s="196" t="s">
        <v>397</v>
      </c>
      <c r="G220" s="197"/>
      <c r="H220" s="437">
        <f>H221</f>
        <v>609.79999999999995</v>
      </c>
    </row>
    <row r="221" spans="1:8" ht="37.5">
      <c r="A221" s="423"/>
      <c r="B221" s="436" t="s">
        <v>108</v>
      </c>
      <c r="C221" s="194" t="s">
        <v>121</v>
      </c>
      <c r="D221" s="195" t="s">
        <v>98</v>
      </c>
      <c r="E221" s="195" t="s">
        <v>90</v>
      </c>
      <c r="F221" s="196" t="s">
        <v>397</v>
      </c>
      <c r="G221" s="197" t="s">
        <v>109</v>
      </c>
      <c r="H221" s="437">
        <f>'прил12(ведом 19)'!M623</f>
        <v>609.79999999999995</v>
      </c>
    </row>
    <row r="222" spans="1:8" s="435" customFormat="1" ht="37.5">
      <c r="A222" s="423"/>
      <c r="B222" s="436" t="s">
        <v>300</v>
      </c>
      <c r="C222" s="194" t="s">
        <v>121</v>
      </c>
      <c r="D222" s="195" t="s">
        <v>150</v>
      </c>
      <c r="E222" s="195" t="s">
        <v>96</v>
      </c>
      <c r="F222" s="196" t="s">
        <v>97</v>
      </c>
      <c r="G222" s="197"/>
      <c r="H222" s="437">
        <f>H223</f>
        <v>2928.5</v>
      </c>
    </row>
    <row r="223" spans="1:8" s="435" customFormat="1" ht="37.5">
      <c r="A223" s="423"/>
      <c r="B223" s="436" t="s">
        <v>389</v>
      </c>
      <c r="C223" s="194" t="s">
        <v>121</v>
      </c>
      <c r="D223" s="195" t="s">
        <v>150</v>
      </c>
      <c r="E223" s="195" t="s">
        <v>90</v>
      </c>
      <c r="F223" s="196" t="s">
        <v>97</v>
      </c>
      <c r="G223" s="197"/>
      <c r="H223" s="437">
        <f>H224</f>
        <v>2928.5</v>
      </c>
    </row>
    <row r="224" spans="1:8" s="435" customFormat="1" ht="37.5">
      <c r="A224" s="423"/>
      <c r="B224" s="436" t="s">
        <v>100</v>
      </c>
      <c r="C224" s="194" t="s">
        <v>121</v>
      </c>
      <c r="D224" s="195" t="s">
        <v>150</v>
      </c>
      <c r="E224" s="195" t="s">
        <v>90</v>
      </c>
      <c r="F224" s="196" t="s">
        <v>101</v>
      </c>
      <c r="G224" s="197"/>
      <c r="H224" s="437">
        <f>SUM(H225:H227)</f>
        <v>2928.5</v>
      </c>
    </row>
    <row r="225" spans="1:8" s="435" customFormat="1" ht="93.75">
      <c r="A225" s="423"/>
      <c r="B225" s="436" t="s">
        <v>102</v>
      </c>
      <c r="C225" s="194" t="s">
        <v>121</v>
      </c>
      <c r="D225" s="195" t="s">
        <v>150</v>
      </c>
      <c r="E225" s="195" t="s">
        <v>90</v>
      </c>
      <c r="F225" s="196" t="s">
        <v>101</v>
      </c>
      <c r="G225" s="197" t="s">
        <v>103</v>
      </c>
      <c r="H225" s="437">
        <f>'прил12(ведом 19)'!M629</f>
        <v>2534.1</v>
      </c>
    </row>
    <row r="226" spans="1:8" ht="37.5">
      <c r="A226" s="423"/>
      <c r="B226" s="436" t="s">
        <v>108</v>
      </c>
      <c r="C226" s="194" t="s">
        <v>121</v>
      </c>
      <c r="D226" s="195" t="s">
        <v>150</v>
      </c>
      <c r="E226" s="195" t="s">
        <v>90</v>
      </c>
      <c r="F226" s="196" t="s">
        <v>101</v>
      </c>
      <c r="G226" s="197" t="s">
        <v>109</v>
      </c>
      <c r="H226" s="437">
        <f>'прил12(ведом 19)'!M630</f>
        <v>390.8</v>
      </c>
    </row>
    <row r="227" spans="1:8" ht="18.75">
      <c r="A227" s="423"/>
      <c r="B227" s="436" t="s">
        <v>110</v>
      </c>
      <c r="C227" s="194" t="s">
        <v>121</v>
      </c>
      <c r="D227" s="195" t="s">
        <v>150</v>
      </c>
      <c r="E227" s="195" t="s">
        <v>90</v>
      </c>
      <c r="F227" s="196" t="s">
        <v>101</v>
      </c>
      <c r="G227" s="197" t="s">
        <v>111</v>
      </c>
      <c r="H227" s="437">
        <f>'прил12(ведом 19)'!M631</f>
        <v>3.6</v>
      </c>
    </row>
    <row r="228" spans="1:8" ht="18.75">
      <c r="A228" s="423"/>
      <c r="B228" s="440"/>
      <c r="C228" s="553"/>
      <c r="D228" s="553"/>
      <c r="E228" s="453"/>
      <c r="F228" s="454"/>
      <c r="G228" s="422"/>
      <c r="H228" s="437"/>
    </row>
    <row r="229" spans="1:8" s="435" customFormat="1" ht="56.25">
      <c r="A229" s="441">
        <v>5</v>
      </c>
      <c r="B229" s="430" t="s">
        <v>140</v>
      </c>
      <c r="C229" s="442" t="s">
        <v>141</v>
      </c>
      <c r="D229" s="442" t="s">
        <v>95</v>
      </c>
      <c r="E229" s="442" t="s">
        <v>96</v>
      </c>
      <c r="F229" s="443" t="s">
        <v>97</v>
      </c>
      <c r="G229" s="433"/>
      <c r="H229" s="434">
        <f>H242+H230+H251+H260</f>
        <v>15577.980679999997</v>
      </c>
    </row>
    <row r="230" spans="1:8" ht="56.25">
      <c r="A230" s="423"/>
      <c r="B230" s="444" t="s">
        <v>142</v>
      </c>
      <c r="C230" s="194" t="s">
        <v>141</v>
      </c>
      <c r="D230" s="195" t="s">
        <v>98</v>
      </c>
      <c r="E230" s="195" t="s">
        <v>96</v>
      </c>
      <c r="F230" s="196" t="s">
        <v>97</v>
      </c>
      <c r="G230" s="422"/>
      <c r="H230" s="437">
        <f>H231</f>
        <v>6498.1166799999992</v>
      </c>
    </row>
    <row r="231" spans="1:8" ht="75">
      <c r="A231" s="423"/>
      <c r="B231" s="436" t="s">
        <v>143</v>
      </c>
      <c r="C231" s="194" t="s">
        <v>141</v>
      </c>
      <c r="D231" s="195" t="s">
        <v>98</v>
      </c>
      <c r="E231" s="195" t="s">
        <v>90</v>
      </c>
      <c r="F231" s="196" t="s">
        <v>97</v>
      </c>
      <c r="G231" s="197"/>
      <c r="H231" s="437">
        <f>H232+H234+H236+H238+H240</f>
        <v>6498.1166799999992</v>
      </c>
    </row>
    <row r="232" spans="1:8" ht="75">
      <c r="A232" s="423"/>
      <c r="B232" s="444" t="s">
        <v>144</v>
      </c>
      <c r="C232" s="194" t="s">
        <v>141</v>
      </c>
      <c r="D232" s="195" t="s">
        <v>98</v>
      </c>
      <c r="E232" s="195" t="s">
        <v>90</v>
      </c>
      <c r="F232" s="196" t="s">
        <v>145</v>
      </c>
      <c r="G232" s="197"/>
      <c r="H232" s="437">
        <f>H233</f>
        <v>1353.6766799999998</v>
      </c>
    </row>
    <row r="233" spans="1:8" ht="37.5">
      <c r="A233" s="423"/>
      <c r="B233" s="436" t="s">
        <v>108</v>
      </c>
      <c r="C233" s="194" t="s">
        <v>141</v>
      </c>
      <c r="D233" s="195" t="s">
        <v>98</v>
      </c>
      <c r="E233" s="195" t="s">
        <v>90</v>
      </c>
      <c r="F233" s="196" t="s">
        <v>145</v>
      </c>
      <c r="G233" s="197" t="s">
        <v>109</v>
      </c>
      <c r="H233" s="437">
        <f>'прил12(ведом 19)'!M81</f>
        <v>1353.6766799999998</v>
      </c>
    </row>
    <row r="234" spans="1:8" ht="56.25">
      <c r="A234" s="423"/>
      <c r="B234" s="436" t="s">
        <v>146</v>
      </c>
      <c r="C234" s="194" t="s">
        <v>141</v>
      </c>
      <c r="D234" s="195" t="s">
        <v>98</v>
      </c>
      <c r="E234" s="195" t="s">
        <v>90</v>
      </c>
      <c r="F234" s="196" t="s">
        <v>147</v>
      </c>
      <c r="G234" s="197"/>
      <c r="H234" s="437">
        <f>H235</f>
        <v>63.9</v>
      </c>
    </row>
    <row r="235" spans="1:8" ht="37.5">
      <c r="A235" s="423"/>
      <c r="B235" s="436" t="s">
        <v>108</v>
      </c>
      <c r="C235" s="194" t="s">
        <v>141</v>
      </c>
      <c r="D235" s="195" t="s">
        <v>98</v>
      </c>
      <c r="E235" s="195" t="s">
        <v>90</v>
      </c>
      <c r="F235" s="196" t="s">
        <v>147</v>
      </c>
      <c r="G235" s="197" t="s">
        <v>109</v>
      </c>
      <c r="H235" s="437">
        <f>'прил12(ведом 19)'!M83</f>
        <v>63.9</v>
      </c>
    </row>
    <row r="236" spans="1:8" ht="93.75">
      <c r="A236" s="423"/>
      <c r="B236" s="436" t="s">
        <v>492</v>
      </c>
      <c r="C236" s="194" t="s">
        <v>141</v>
      </c>
      <c r="D236" s="195" t="s">
        <v>98</v>
      </c>
      <c r="E236" s="195" t="s">
        <v>90</v>
      </c>
      <c r="F236" s="196" t="s">
        <v>471</v>
      </c>
      <c r="G236" s="197"/>
      <c r="H236" s="437">
        <f>H237</f>
        <v>2643.1</v>
      </c>
    </row>
    <row r="237" spans="1:8" ht="18.75">
      <c r="A237" s="423"/>
      <c r="B237" s="436" t="s">
        <v>186</v>
      </c>
      <c r="C237" s="194" t="s">
        <v>141</v>
      </c>
      <c r="D237" s="195" t="s">
        <v>98</v>
      </c>
      <c r="E237" s="195" t="s">
        <v>90</v>
      </c>
      <c r="F237" s="196" t="s">
        <v>471</v>
      </c>
      <c r="G237" s="197" t="s">
        <v>187</v>
      </c>
      <c r="H237" s="437">
        <f>'прил12(ведом 19)'!M85</f>
        <v>2643.1</v>
      </c>
    </row>
    <row r="238" spans="1:8" ht="112.5">
      <c r="A238" s="423"/>
      <c r="B238" s="436" t="s">
        <v>495</v>
      </c>
      <c r="C238" s="194" t="s">
        <v>141</v>
      </c>
      <c r="D238" s="195" t="s">
        <v>98</v>
      </c>
      <c r="E238" s="195" t="s">
        <v>90</v>
      </c>
      <c r="F238" s="196" t="s">
        <v>472</v>
      </c>
      <c r="G238" s="197"/>
      <c r="H238" s="437">
        <f>H239</f>
        <v>17.800000000000004</v>
      </c>
    </row>
    <row r="239" spans="1:8" ht="18.75">
      <c r="A239" s="423"/>
      <c r="B239" s="436" t="s">
        <v>186</v>
      </c>
      <c r="C239" s="194" t="s">
        <v>141</v>
      </c>
      <c r="D239" s="195" t="s">
        <v>98</v>
      </c>
      <c r="E239" s="195" t="s">
        <v>90</v>
      </c>
      <c r="F239" s="196" t="s">
        <v>472</v>
      </c>
      <c r="G239" s="197" t="s">
        <v>187</v>
      </c>
      <c r="H239" s="437">
        <f>'прил12(ведом 19)'!M87</f>
        <v>17.800000000000004</v>
      </c>
    </row>
    <row r="240" spans="1:8" ht="37.5">
      <c r="A240" s="423"/>
      <c r="B240" s="149" t="s">
        <v>827</v>
      </c>
      <c r="C240" s="194" t="s">
        <v>141</v>
      </c>
      <c r="D240" s="195" t="s">
        <v>98</v>
      </c>
      <c r="E240" s="195" t="s">
        <v>90</v>
      </c>
      <c r="F240" s="196" t="s">
        <v>825</v>
      </c>
      <c r="G240" s="197"/>
      <c r="H240" s="437">
        <f>H241</f>
        <v>2419.64</v>
      </c>
    </row>
    <row r="241" spans="1:8" ht="37.5">
      <c r="A241" s="423"/>
      <c r="B241" s="436" t="s">
        <v>108</v>
      </c>
      <c r="C241" s="194" t="s">
        <v>141</v>
      </c>
      <c r="D241" s="195" t="s">
        <v>98</v>
      </c>
      <c r="E241" s="195" t="s">
        <v>90</v>
      </c>
      <c r="F241" s="196" t="s">
        <v>825</v>
      </c>
      <c r="G241" s="197" t="s">
        <v>109</v>
      </c>
      <c r="H241" s="437">
        <f>'прил12(ведом 19)'!M89</f>
        <v>2419.64</v>
      </c>
    </row>
    <row r="242" spans="1:8" ht="37.5">
      <c r="A242" s="423"/>
      <c r="B242" s="458" t="s">
        <v>188</v>
      </c>
      <c r="C242" s="194" t="s">
        <v>141</v>
      </c>
      <c r="D242" s="195" t="s">
        <v>150</v>
      </c>
      <c r="E242" s="195" t="s">
        <v>96</v>
      </c>
      <c r="F242" s="196" t="s">
        <v>97</v>
      </c>
      <c r="G242" s="422"/>
      <c r="H242" s="437">
        <f>H243+H248</f>
        <v>380.31</v>
      </c>
    </row>
    <row r="243" spans="1:8" ht="37.5">
      <c r="A243" s="423"/>
      <c r="B243" s="436" t="s">
        <v>377</v>
      </c>
      <c r="C243" s="194" t="s">
        <v>141</v>
      </c>
      <c r="D243" s="195" t="s">
        <v>150</v>
      </c>
      <c r="E243" s="195" t="s">
        <v>90</v>
      </c>
      <c r="F243" s="196" t="s">
        <v>97</v>
      </c>
      <c r="G243" s="197"/>
      <c r="H243" s="437">
        <f>H244+H246</f>
        <v>166.5</v>
      </c>
    </row>
    <row r="244" spans="1:8" ht="37.5">
      <c r="A244" s="423"/>
      <c r="B244" s="436" t="s">
        <v>190</v>
      </c>
      <c r="C244" s="194" t="s">
        <v>141</v>
      </c>
      <c r="D244" s="195" t="s">
        <v>150</v>
      </c>
      <c r="E244" s="195" t="s">
        <v>90</v>
      </c>
      <c r="F244" s="196" t="s">
        <v>152</v>
      </c>
      <c r="G244" s="197"/>
      <c r="H244" s="437">
        <f>SUM(H245:H245)</f>
        <v>20.100000000000001</v>
      </c>
    </row>
    <row r="245" spans="1:8" ht="37.5">
      <c r="A245" s="423"/>
      <c r="B245" s="436" t="s">
        <v>108</v>
      </c>
      <c r="C245" s="194" t="s">
        <v>141</v>
      </c>
      <c r="D245" s="195" t="s">
        <v>150</v>
      </c>
      <c r="E245" s="195" t="s">
        <v>90</v>
      </c>
      <c r="F245" s="196" t="s">
        <v>152</v>
      </c>
      <c r="G245" s="197" t="s">
        <v>109</v>
      </c>
      <c r="H245" s="437">
        <f>'прил12(ведом 19)'!M95</f>
        <v>20.100000000000001</v>
      </c>
    </row>
    <row r="246" spans="1:8" ht="93.75">
      <c r="A246" s="423"/>
      <c r="B246" s="458" t="s">
        <v>493</v>
      </c>
      <c r="C246" s="194" t="s">
        <v>141</v>
      </c>
      <c r="D246" s="195" t="s">
        <v>150</v>
      </c>
      <c r="E246" s="195" t="s">
        <v>90</v>
      </c>
      <c r="F246" s="196" t="s">
        <v>473</v>
      </c>
      <c r="G246" s="197"/>
      <c r="H246" s="437">
        <f>H247</f>
        <v>146.4</v>
      </c>
    </row>
    <row r="247" spans="1:8" ht="18.75">
      <c r="A247" s="423"/>
      <c r="B247" s="458" t="s">
        <v>186</v>
      </c>
      <c r="C247" s="194" t="s">
        <v>141</v>
      </c>
      <c r="D247" s="195" t="s">
        <v>150</v>
      </c>
      <c r="E247" s="195" t="s">
        <v>90</v>
      </c>
      <c r="F247" s="196" t="s">
        <v>473</v>
      </c>
      <c r="G247" s="197" t="s">
        <v>187</v>
      </c>
      <c r="H247" s="437">
        <f>'прил12(ведом 19)'!M97</f>
        <v>146.4</v>
      </c>
    </row>
    <row r="248" spans="1:8" ht="56.25">
      <c r="A248" s="423"/>
      <c r="B248" s="445" t="s">
        <v>189</v>
      </c>
      <c r="C248" s="194" t="s">
        <v>141</v>
      </c>
      <c r="D248" s="195" t="s">
        <v>150</v>
      </c>
      <c r="E248" s="195" t="s">
        <v>92</v>
      </c>
      <c r="F248" s="196" t="s">
        <v>97</v>
      </c>
      <c r="G248" s="197"/>
      <c r="H248" s="437">
        <f>H249</f>
        <v>213.81</v>
      </c>
    </row>
    <row r="249" spans="1:8" ht="37.5">
      <c r="A249" s="423"/>
      <c r="B249" s="445" t="s">
        <v>190</v>
      </c>
      <c r="C249" s="194" t="s">
        <v>141</v>
      </c>
      <c r="D249" s="195" t="s">
        <v>150</v>
      </c>
      <c r="E249" s="195" t="s">
        <v>92</v>
      </c>
      <c r="F249" s="196" t="s">
        <v>152</v>
      </c>
      <c r="G249" s="197"/>
      <c r="H249" s="437">
        <f>H250</f>
        <v>213.81</v>
      </c>
    </row>
    <row r="250" spans="1:8" ht="37.5">
      <c r="A250" s="423"/>
      <c r="B250" s="436" t="s">
        <v>108</v>
      </c>
      <c r="C250" s="194" t="s">
        <v>141</v>
      </c>
      <c r="D250" s="195" t="s">
        <v>150</v>
      </c>
      <c r="E250" s="195" t="s">
        <v>92</v>
      </c>
      <c r="F250" s="196" t="s">
        <v>152</v>
      </c>
      <c r="G250" s="197" t="s">
        <v>109</v>
      </c>
      <c r="H250" s="437">
        <f>'прил12(ведом 19)'!M100</f>
        <v>213.81</v>
      </c>
    </row>
    <row r="251" spans="1:8" ht="56.25">
      <c r="A251" s="423"/>
      <c r="B251" s="459" t="s">
        <v>563</v>
      </c>
      <c r="C251" s="194" t="s">
        <v>141</v>
      </c>
      <c r="D251" s="195" t="s">
        <v>83</v>
      </c>
      <c r="E251" s="195" t="s">
        <v>96</v>
      </c>
      <c r="F251" s="196" t="s">
        <v>97</v>
      </c>
      <c r="G251" s="197"/>
      <c r="H251" s="437">
        <f>H252+H257</f>
        <v>8357.5539999999983</v>
      </c>
    </row>
    <row r="252" spans="1:8" ht="75">
      <c r="A252" s="423"/>
      <c r="B252" s="445" t="s">
        <v>464</v>
      </c>
      <c r="C252" s="194" t="s">
        <v>141</v>
      </c>
      <c r="D252" s="195" t="s">
        <v>83</v>
      </c>
      <c r="E252" s="195" t="s">
        <v>90</v>
      </c>
      <c r="F252" s="196" t="s">
        <v>97</v>
      </c>
      <c r="G252" s="197"/>
      <c r="H252" s="437">
        <f>H253</f>
        <v>8271.753999999999</v>
      </c>
    </row>
    <row r="253" spans="1:8" ht="75">
      <c r="A253" s="423"/>
      <c r="B253" s="445" t="s">
        <v>151</v>
      </c>
      <c r="C253" s="194" t="s">
        <v>141</v>
      </c>
      <c r="D253" s="195" t="s">
        <v>83</v>
      </c>
      <c r="E253" s="195" t="s">
        <v>90</v>
      </c>
      <c r="F253" s="196" t="s">
        <v>153</v>
      </c>
      <c r="G253" s="197"/>
      <c r="H253" s="437">
        <f>SUM(H254:H256)</f>
        <v>8271.753999999999</v>
      </c>
    </row>
    <row r="254" spans="1:8" s="435" customFormat="1" ht="93.75">
      <c r="A254" s="423"/>
      <c r="B254" s="436" t="s">
        <v>102</v>
      </c>
      <c r="C254" s="194" t="s">
        <v>141</v>
      </c>
      <c r="D254" s="195" t="s">
        <v>83</v>
      </c>
      <c r="E254" s="195" t="s">
        <v>90</v>
      </c>
      <c r="F254" s="196" t="s">
        <v>153</v>
      </c>
      <c r="G254" s="197" t="s">
        <v>103</v>
      </c>
      <c r="H254" s="437">
        <f>'прил12(ведом 19)'!M104</f>
        <v>6143.5</v>
      </c>
    </row>
    <row r="255" spans="1:8" ht="37.5">
      <c r="A255" s="423"/>
      <c r="B255" s="436" t="s">
        <v>108</v>
      </c>
      <c r="C255" s="194" t="s">
        <v>141</v>
      </c>
      <c r="D255" s="195" t="s">
        <v>83</v>
      </c>
      <c r="E255" s="195" t="s">
        <v>90</v>
      </c>
      <c r="F255" s="196" t="s">
        <v>153</v>
      </c>
      <c r="G255" s="197" t="s">
        <v>109</v>
      </c>
      <c r="H255" s="437">
        <f>'прил12(ведом 19)'!M105</f>
        <v>2090.8539999999998</v>
      </c>
    </row>
    <row r="256" spans="1:8" s="435" customFormat="1" ht="18.75">
      <c r="A256" s="423"/>
      <c r="B256" s="436" t="s">
        <v>110</v>
      </c>
      <c r="C256" s="194" t="s">
        <v>141</v>
      </c>
      <c r="D256" s="195" t="s">
        <v>83</v>
      </c>
      <c r="E256" s="195" t="s">
        <v>90</v>
      </c>
      <c r="F256" s="196" t="s">
        <v>153</v>
      </c>
      <c r="G256" s="197" t="s">
        <v>111</v>
      </c>
      <c r="H256" s="437">
        <f>'прил12(ведом 19)'!M106</f>
        <v>37.4</v>
      </c>
    </row>
    <row r="257" spans="1:8" s="435" customFormat="1" ht="37.5">
      <c r="A257" s="423"/>
      <c r="B257" s="436" t="s">
        <v>863</v>
      </c>
      <c r="C257" s="556" t="s">
        <v>141</v>
      </c>
      <c r="D257" s="557" t="s">
        <v>83</v>
      </c>
      <c r="E257" s="557" t="s">
        <v>92</v>
      </c>
      <c r="F257" s="558" t="s">
        <v>97</v>
      </c>
      <c r="G257" s="197"/>
      <c r="H257" s="437">
        <f>H258</f>
        <v>85.8</v>
      </c>
    </row>
    <row r="258" spans="1:8" s="435" customFormat="1" ht="56.25">
      <c r="A258" s="423"/>
      <c r="B258" s="436" t="s">
        <v>146</v>
      </c>
      <c r="C258" s="556" t="s">
        <v>141</v>
      </c>
      <c r="D258" s="557" t="s">
        <v>83</v>
      </c>
      <c r="E258" s="557" t="s">
        <v>92</v>
      </c>
      <c r="F258" s="558" t="s">
        <v>147</v>
      </c>
      <c r="G258" s="197"/>
      <c r="H258" s="437">
        <f>H259</f>
        <v>85.8</v>
      </c>
    </row>
    <row r="259" spans="1:8" s="435" customFormat="1" ht="37.5">
      <c r="A259" s="423"/>
      <c r="B259" s="436" t="s">
        <v>108</v>
      </c>
      <c r="C259" s="556" t="s">
        <v>141</v>
      </c>
      <c r="D259" s="557" t="s">
        <v>83</v>
      </c>
      <c r="E259" s="557" t="s">
        <v>92</v>
      </c>
      <c r="F259" s="558" t="s">
        <v>147</v>
      </c>
      <c r="G259" s="197" t="s">
        <v>109</v>
      </c>
      <c r="H259" s="437">
        <f>'прил12(ведом 19)'!M109</f>
        <v>85.8</v>
      </c>
    </row>
    <row r="260" spans="1:8" s="435" customFormat="1" ht="56.25">
      <c r="A260" s="423"/>
      <c r="B260" s="514" t="s">
        <v>828</v>
      </c>
      <c r="C260" s="195" t="s">
        <v>141</v>
      </c>
      <c r="D260" s="195" t="s">
        <v>84</v>
      </c>
      <c r="E260" s="195" t="s">
        <v>96</v>
      </c>
      <c r="F260" s="196" t="s">
        <v>97</v>
      </c>
      <c r="G260" s="197"/>
      <c r="H260" s="437">
        <f>H261</f>
        <v>342</v>
      </c>
    </row>
    <row r="261" spans="1:8" s="435" customFormat="1" ht="56.25">
      <c r="A261" s="423"/>
      <c r="B261" s="515" t="s">
        <v>829</v>
      </c>
      <c r="C261" s="195" t="s">
        <v>141</v>
      </c>
      <c r="D261" s="195" t="s">
        <v>84</v>
      </c>
      <c r="E261" s="195" t="s">
        <v>90</v>
      </c>
      <c r="F261" s="196" t="s">
        <v>97</v>
      </c>
      <c r="G261" s="197"/>
      <c r="H261" s="437">
        <f>H262</f>
        <v>342</v>
      </c>
    </row>
    <row r="262" spans="1:8" s="435" customFormat="1" ht="56.25">
      <c r="A262" s="423"/>
      <c r="B262" s="149" t="s">
        <v>146</v>
      </c>
      <c r="C262" s="195" t="s">
        <v>141</v>
      </c>
      <c r="D262" s="195" t="s">
        <v>84</v>
      </c>
      <c r="E262" s="195" t="s">
        <v>90</v>
      </c>
      <c r="F262" s="196" t="s">
        <v>147</v>
      </c>
      <c r="G262" s="197"/>
      <c r="H262" s="437">
        <f>H263</f>
        <v>342</v>
      </c>
    </row>
    <row r="263" spans="1:8" s="435" customFormat="1" ht="37.5">
      <c r="A263" s="423"/>
      <c r="B263" s="436" t="s">
        <v>108</v>
      </c>
      <c r="C263" s="195" t="s">
        <v>141</v>
      </c>
      <c r="D263" s="195" t="s">
        <v>84</v>
      </c>
      <c r="E263" s="195" t="s">
        <v>90</v>
      </c>
      <c r="F263" s="196" t="s">
        <v>147</v>
      </c>
      <c r="G263" s="197" t="s">
        <v>109</v>
      </c>
      <c r="H263" s="437">
        <f>'прил12(ведом 19)'!M113</f>
        <v>342</v>
      </c>
    </row>
    <row r="264" spans="1:8" ht="18.75">
      <c r="A264" s="460"/>
      <c r="B264" s="438"/>
      <c r="C264" s="402"/>
      <c r="D264" s="553"/>
      <c r="E264" s="553"/>
      <c r="F264" s="554"/>
      <c r="G264" s="422"/>
      <c r="H264" s="437"/>
    </row>
    <row r="265" spans="1:8" s="435" customFormat="1" ht="56.25">
      <c r="A265" s="441">
        <v>6</v>
      </c>
      <c r="B265" s="455" t="s">
        <v>303</v>
      </c>
      <c r="C265" s="431" t="s">
        <v>304</v>
      </c>
      <c r="D265" s="431" t="s">
        <v>95</v>
      </c>
      <c r="E265" s="431" t="s">
        <v>96</v>
      </c>
      <c r="F265" s="432" t="s">
        <v>97</v>
      </c>
      <c r="G265" s="433"/>
      <c r="H265" s="434">
        <f>H266</f>
        <v>35445.1</v>
      </c>
    </row>
    <row r="266" spans="1:8" ht="37.5">
      <c r="A266" s="423"/>
      <c r="B266" s="436" t="s">
        <v>491</v>
      </c>
      <c r="C266" s="398" t="s">
        <v>304</v>
      </c>
      <c r="D266" s="399" t="s">
        <v>98</v>
      </c>
      <c r="E266" s="195" t="s">
        <v>96</v>
      </c>
      <c r="F266" s="196" t="s">
        <v>97</v>
      </c>
      <c r="G266" s="197"/>
      <c r="H266" s="437">
        <f>H267+H272+H277+H280</f>
        <v>35445.1</v>
      </c>
    </row>
    <row r="267" spans="1:8" ht="56.25">
      <c r="A267" s="423"/>
      <c r="B267" s="436" t="s">
        <v>426</v>
      </c>
      <c r="C267" s="398" t="s">
        <v>304</v>
      </c>
      <c r="D267" s="399" t="s">
        <v>98</v>
      </c>
      <c r="E267" s="195" t="s">
        <v>90</v>
      </c>
      <c r="F267" s="196" t="s">
        <v>97</v>
      </c>
      <c r="G267" s="197"/>
      <c r="H267" s="437">
        <f>H268</f>
        <v>23472.399999999998</v>
      </c>
    </row>
    <row r="268" spans="1:8" ht="37.5">
      <c r="A268" s="423"/>
      <c r="B268" s="436" t="s">
        <v>100</v>
      </c>
      <c r="C268" s="398" t="s">
        <v>304</v>
      </c>
      <c r="D268" s="399" t="s">
        <v>98</v>
      </c>
      <c r="E268" s="195" t="s">
        <v>90</v>
      </c>
      <c r="F268" s="196" t="s">
        <v>101</v>
      </c>
      <c r="G268" s="197"/>
      <c r="H268" s="437">
        <f>SUM(H269:H271)</f>
        <v>23472.399999999998</v>
      </c>
    </row>
    <row r="269" spans="1:8" ht="93.75">
      <c r="A269" s="423"/>
      <c r="B269" s="436" t="s">
        <v>102</v>
      </c>
      <c r="C269" s="398" t="s">
        <v>304</v>
      </c>
      <c r="D269" s="399" t="s">
        <v>98</v>
      </c>
      <c r="E269" s="195" t="s">
        <v>90</v>
      </c>
      <c r="F269" s="196" t="s">
        <v>101</v>
      </c>
      <c r="G269" s="197" t="s">
        <v>103</v>
      </c>
      <c r="H269" s="437">
        <f>'прил12(ведом 19)'!M213</f>
        <v>22495.7</v>
      </c>
    </row>
    <row r="270" spans="1:8" ht="37.5">
      <c r="A270" s="423"/>
      <c r="B270" s="436" t="s">
        <v>108</v>
      </c>
      <c r="C270" s="398" t="s">
        <v>304</v>
      </c>
      <c r="D270" s="399" t="s">
        <v>98</v>
      </c>
      <c r="E270" s="195" t="s">
        <v>90</v>
      </c>
      <c r="F270" s="196" t="s">
        <v>101</v>
      </c>
      <c r="G270" s="197" t="s">
        <v>109</v>
      </c>
      <c r="H270" s="437">
        <f>'прил12(ведом 19)'!M214</f>
        <v>971.6</v>
      </c>
    </row>
    <row r="271" spans="1:8" ht="18.75">
      <c r="A271" s="423"/>
      <c r="B271" s="436" t="s">
        <v>110</v>
      </c>
      <c r="C271" s="398" t="s">
        <v>304</v>
      </c>
      <c r="D271" s="399" t="s">
        <v>98</v>
      </c>
      <c r="E271" s="195" t="s">
        <v>90</v>
      </c>
      <c r="F271" s="196" t="s">
        <v>101</v>
      </c>
      <c r="G271" s="197" t="s">
        <v>111</v>
      </c>
      <c r="H271" s="437">
        <f>'прил12(ведом 19)'!M215</f>
        <v>5.0999999999999996</v>
      </c>
    </row>
    <row r="272" spans="1:8" ht="37.5">
      <c r="A272" s="423"/>
      <c r="B272" s="436" t="s">
        <v>427</v>
      </c>
      <c r="C272" s="398" t="s">
        <v>304</v>
      </c>
      <c r="D272" s="399" t="s">
        <v>98</v>
      </c>
      <c r="E272" s="195" t="s">
        <v>92</v>
      </c>
      <c r="F272" s="196" t="s">
        <v>97</v>
      </c>
      <c r="G272" s="197"/>
      <c r="H272" s="437">
        <f>H273+H275</f>
        <v>9800</v>
      </c>
    </row>
    <row r="273" spans="1:8" ht="37.5">
      <c r="A273" s="423"/>
      <c r="B273" s="397" t="s">
        <v>363</v>
      </c>
      <c r="C273" s="398" t="s">
        <v>304</v>
      </c>
      <c r="D273" s="399" t="s">
        <v>98</v>
      </c>
      <c r="E273" s="195" t="s">
        <v>92</v>
      </c>
      <c r="F273" s="196" t="s">
        <v>807</v>
      </c>
      <c r="G273" s="197"/>
      <c r="H273" s="437">
        <f>H274</f>
        <v>5000</v>
      </c>
    </row>
    <row r="274" spans="1:8" ht="18.75">
      <c r="A274" s="423"/>
      <c r="B274" s="397" t="s">
        <v>186</v>
      </c>
      <c r="C274" s="398" t="s">
        <v>304</v>
      </c>
      <c r="D274" s="399" t="s">
        <v>98</v>
      </c>
      <c r="E274" s="195" t="s">
        <v>92</v>
      </c>
      <c r="F274" s="196" t="s">
        <v>807</v>
      </c>
      <c r="G274" s="197" t="s">
        <v>187</v>
      </c>
      <c r="H274" s="437">
        <f>'прил12(ведом 19)'!M231</f>
        <v>5000</v>
      </c>
    </row>
    <row r="275" spans="1:8" ht="37.5">
      <c r="A275" s="423"/>
      <c r="B275" s="397" t="s">
        <v>860</v>
      </c>
      <c r="C275" s="398" t="s">
        <v>304</v>
      </c>
      <c r="D275" s="399" t="s">
        <v>98</v>
      </c>
      <c r="E275" s="195" t="s">
        <v>92</v>
      </c>
      <c r="F275" s="196" t="s">
        <v>859</v>
      </c>
      <c r="G275" s="197"/>
      <c r="H275" s="437">
        <f>H276</f>
        <v>4800</v>
      </c>
    </row>
    <row r="276" spans="1:8" ht="18.75">
      <c r="A276" s="423"/>
      <c r="B276" s="397" t="s">
        <v>186</v>
      </c>
      <c r="C276" s="398" t="s">
        <v>304</v>
      </c>
      <c r="D276" s="399" t="s">
        <v>98</v>
      </c>
      <c r="E276" s="195" t="s">
        <v>92</v>
      </c>
      <c r="F276" s="196" t="s">
        <v>859</v>
      </c>
      <c r="G276" s="197" t="s">
        <v>187</v>
      </c>
      <c r="H276" s="437">
        <f>'прил12(ведом 19)'!M236</f>
        <v>4800</v>
      </c>
    </row>
    <row r="277" spans="1:8" ht="37.5">
      <c r="A277" s="423"/>
      <c r="B277" s="436" t="s">
        <v>521</v>
      </c>
      <c r="C277" s="398" t="s">
        <v>304</v>
      </c>
      <c r="D277" s="399" t="s">
        <v>98</v>
      </c>
      <c r="E277" s="195" t="s">
        <v>119</v>
      </c>
      <c r="F277" s="196" t="s">
        <v>97</v>
      </c>
      <c r="G277" s="197"/>
      <c r="H277" s="437">
        <f>H278</f>
        <v>1979.4</v>
      </c>
    </row>
    <row r="278" spans="1:8" ht="56.25">
      <c r="A278" s="423"/>
      <c r="B278" s="436" t="s">
        <v>522</v>
      </c>
      <c r="C278" s="398" t="s">
        <v>304</v>
      </c>
      <c r="D278" s="399" t="s">
        <v>98</v>
      </c>
      <c r="E278" s="195" t="s">
        <v>119</v>
      </c>
      <c r="F278" s="196" t="s">
        <v>168</v>
      </c>
      <c r="G278" s="197"/>
      <c r="H278" s="437">
        <f>H279</f>
        <v>1979.4</v>
      </c>
    </row>
    <row r="279" spans="1:8" ht="37.5">
      <c r="A279" s="423"/>
      <c r="B279" s="436" t="s">
        <v>108</v>
      </c>
      <c r="C279" s="398" t="s">
        <v>304</v>
      </c>
      <c r="D279" s="399" t="s">
        <v>98</v>
      </c>
      <c r="E279" s="195" t="s">
        <v>119</v>
      </c>
      <c r="F279" s="196" t="s">
        <v>168</v>
      </c>
      <c r="G279" s="197" t="s">
        <v>109</v>
      </c>
      <c r="H279" s="437">
        <f>'прил12(ведом 19)'!M224</f>
        <v>1979.4</v>
      </c>
    </row>
    <row r="280" spans="1:8" ht="56.25">
      <c r="A280" s="423"/>
      <c r="B280" s="397" t="s">
        <v>465</v>
      </c>
      <c r="C280" s="398" t="s">
        <v>304</v>
      </c>
      <c r="D280" s="399" t="s">
        <v>98</v>
      </c>
      <c r="E280" s="195" t="s">
        <v>105</v>
      </c>
      <c r="F280" s="196" t="s">
        <v>97</v>
      </c>
      <c r="G280" s="197"/>
      <c r="H280" s="437">
        <f>H281</f>
        <v>193.3</v>
      </c>
    </row>
    <row r="281" spans="1:8" ht="37.5">
      <c r="A281" s="423"/>
      <c r="B281" s="397" t="s">
        <v>576</v>
      </c>
      <c r="C281" s="398" t="s">
        <v>304</v>
      </c>
      <c r="D281" s="399" t="s">
        <v>98</v>
      </c>
      <c r="E281" s="195" t="s">
        <v>105</v>
      </c>
      <c r="F281" s="196" t="s">
        <v>575</v>
      </c>
      <c r="G281" s="197"/>
      <c r="H281" s="437">
        <f>H282</f>
        <v>193.3</v>
      </c>
    </row>
    <row r="282" spans="1:8" ht="37.5">
      <c r="A282" s="423"/>
      <c r="B282" s="397" t="s">
        <v>108</v>
      </c>
      <c r="C282" s="398" t="s">
        <v>304</v>
      </c>
      <c r="D282" s="399" t="s">
        <v>98</v>
      </c>
      <c r="E282" s="195" t="s">
        <v>105</v>
      </c>
      <c r="F282" s="196" t="s">
        <v>575</v>
      </c>
      <c r="G282" s="197" t="s">
        <v>109</v>
      </c>
      <c r="H282" s="437">
        <f>'прил12(ведом 19)'!M218</f>
        <v>193.3</v>
      </c>
    </row>
    <row r="283" spans="1:8" ht="18.75">
      <c r="A283" s="423"/>
      <c r="B283" s="436"/>
      <c r="C283" s="399"/>
      <c r="D283" s="399"/>
      <c r="E283" s="399"/>
      <c r="F283" s="461"/>
      <c r="G283" s="197"/>
      <c r="H283" s="437"/>
    </row>
    <row r="284" spans="1:8" s="435" customFormat="1" ht="56.25">
      <c r="A284" s="429">
        <v>7</v>
      </c>
      <c r="B284" s="462" t="s">
        <v>305</v>
      </c>
      <c r="C284" s="463" t="s">
        <v>306</v>
      </c>
      <c r="D284" s="442" t="s">
        <v>95</v>
      </c>
      <c r="E284" s="442" t="s">
        <v>96</v>
      </c>
      <c r="F284" s="443" t="s">
        <v>97</v>
      </c>
      <c r="G284" s="464"/>
      <c r="H284" s="434">
        <f>H285+H297+H317</f>
        <v>47351.104999999996</v>
      </c>
    </row>
    <row r="285" spans="1:8" ht="37.5">
      <c r="A285" s="460"/>
      <c r="B285" s="465" t="s">
        <v>307</v>
      </c>
      <c r="C285" s="466" t="s">
        <v>306</v>
      </c>
      <c r="D285" s="467" t="s">
        <v>98</v>
      </c>
      <c r="E285" s="467" t="s">
        <v>96</v>
      </c>
      <c r="F285" s="468" t="s">
        <v>97</v>
      </c>
      <c r="G285" s="469"/>
      <c r="H285" s="437">
        <f>H286+H291</f>
        <v>15833.227999999999</v>
      </c>
    </row>
    <row r="286" spans="1:8" ht="93.75">
      <c r="A286" s="460"/>
      <c r="B286" s="465" t="s">
        <v>418</v>
      </c>
      <c r="C286" s="401" t="s">
        <v>306</v>
      </c>
      <c r="D286" s="402" t="s">
        <v>98</v>
      </c>
      <c r="E286" s="402" t="s">
        <v>90</v>
      </c>
      <c r="F286" s="403" t="s">
        <v>97</v>
      </c>
      <c r="G286" s="404"/>
      <c r="H286" s="437">
        <f>H287+H289</f>
        <v>2758.127</v>
      </c>
    </row>
    <row r="287" spans="1:8" ht="56.25">
      <c r="A287" s="460"/>
      <c r="B287" s="465" t="s">
        <v>308</v>
      </c>
      <c r="C287" s="401" t="s">
        <v>306</v>
      </c>
      <c r="D287" s="402" t="s">
        <v>98</v>
      </c>
      <c r="E287" s="402" t="s">
        <v>90</v>
      </c>
      <c r="F287" s="403" t="s">
        <v>419</v>
      </c>
      <c r="G287" s="404"/>
      <c r="H287" s="437">
        <f>H288</f>
        <v>320.85699999999997</v>
      </c>
    </row>
    <row r="288" spans="1:8" ht="37.5">
      <c r="A288" s="460"/>
      <c r="B288" s="436" t="s">
        <v>108</v>
      </c>
      <c r="C288" s="401" t="s">
        <v>306</v>
      </c>
      <c r="D288" s="402" t="s">
        <v>98</v>
      </c>
      <c r="E288" s="402" t="s">
        <v>90</v>
      </c>
      <c r="F288" s="403" t="s">
        <v>419</v>
      </c>
      <c r="G288" s="404" t="s">
        <v>109</v>
      </c>
      <c r="H288" s="437">
        <f>'прил12(ведом 19)'!M263</f>
        <v>320.85699999999997</v>
      </c>
    </row>
    <row r="289" spans="1:8" ht="37.5">
      <c r="A289" s="460"/>
      <c r="B289" s="400" t="s">
        <v>571</v>
      </c>
      <c r="C289" s="448" t="s">
        <v>306</v>
      </c>
      <c r="D289" s="402" t="s">
        <v>98</v>
      </c>
      <c r="E289" s="402" t="s">
        <v>90</v>
      </c>
      <c r="F289" s="403" t="s">
        <v>570</v>
      </c>
      <c r="G289" s="404"/>
      <c r="H289" s="437">
        <f>H290</f>
        <v>2437.27</v>
      </c>
    </row>
    <row r="290" spans="1:8" ht="37.5">
      <c r="A290" s="460"/>
      <c r="B290" s="397" t="s">
        <v>108</v>
      </c>
      <c r="C290" s="448" t="s">
        <v>306</v>
      </c>
      <c r="D290" s="402" t="s">
        <v>98</v>
      </c>
      <c r="E290" s="402" t="s">
        <v>90</v>
      </c>
      <c r="F290" s="403" t="s">
        <v>570</v>
      </c>
      <c r="G290" s="404" t="s">
        <v>109</v>
      </c>
      <c r="H290" s="437">
        <f>'прил12(ведом 19)'!M307</f>
        <v>2437.27</v>
      </c>
    </row>
    <row r="291" spans="1:8" ht="37.5">
      <c r="A291" s="460"/>
      <c r="B291" s="436" t="s">
        <v>490</v>
      </c>
      <c r="C291" s="401" t="s">
        <v>306</v>
      </c>
      <c r="D291" s="402" t="s">
        <v>98</v>
      </c>
      <c r="E291" s="402" t="s">
        <v>92</v>
      </c>
      <c r="F291" s="403" t="s">
        <v>97</v>
      </c>
      <c r="G291" s="404"/>
      <c r="H291" s="437">
        <f>H292+H295</f>
        <v>13075.100999999999</v>
      </c>
    </row>
    <row r="292" spans="1:8" ht="37.5">
      <c r="A292" s="460"/>
      <c r="B292" s="436" t="s">
        <v>489</v>
      </c>
      <c r="C292" s="401" t="s">
        <v>306</v>
      </c>
      <c r="D292" s="402" t="s">
        <v>98</v>
      </c>
      <c r="E292" s="402" t="s">
        <v>92</v>
      </c>
      <c r="F292" s="403" t="s">
        <v>488</v>
      </c>
      <c r="G292" s="404"/>
      <c r="H292" s="437">
        <f>SUM(H293:H294)</f>
        <v>12871.000999999998</v>
      </c>
    </row>
    <row r="293" spans="1:8" ht="37.5">
      <c r="A293" s="460"/>
      <c r="B293" s="436" t="s">
        <v>108</v>
      </c>
      <c r="C293" s="401" t="s">
        <v>306</v>
      </c>
      <c r="D293" s="402" t="s">
        <v>98</v>
      </c>
      <c r="E293" s="402" t="s">
        <v>92</v>
      </c>
      <c r="F293" s="403" t="s">
        <v>488</v>
      </c>
      <c r="G293" s="404" t="s">
        <v>109</v>
      </c>
      <c r="H293" s="437">
        <f>'прил12(ведом 19)'!M266+'прил12(ведом 19)'!M313</f>
        <v>4126.262999999999</v>
      </c>
    </row>
    <row r="294" spans="1:8" ht="37.5">
      <c r="A294" s="460"/>
      <c r="B294" s="149" t="s">
        <v>282</v>
      </c>
      <c r="C294" s="401" t="s">
        <v>306</v>
      </c>
      <c r="D294" s="402" t="s">
        <v>98</v>
      </c>
      <c r="E294" s="402" t="s">
        <v>92</v>
      </c>
      <c r="F294" s="403" t="s">
        <v>488</v>
      </c>
      <c r="G294" s="404" t="s">
        <v>283</v>
      </c>
      <c r="H294" s="437">
        <f>'прил12(ведом 19)'!M267</f>
        <v>8744.7379999999994</v>
      </c>
    </row>
    <row r="295" spans="1:8" ht="18.75">
      <c r="A295" s="460"/>
      <c r="B295" s="791" t="s">
        <v>127</v>
      </c>
      <c r="C295" s="806" t="s">
        <v>306</v>
      </c>
      <c r="D295" s="796" t="s">
        <v>98</v>
      </c>
      <c r="E295" s="796" t="s">
        <v>92</v>
      </c>
      <c r="F295" s="797" t="s">
        <v>128</v>
      </c>
      <c r="G295" s="766"/>
      <c r="H295" s="747">
        <f>H296</f>
        <v>204.1</v>
      </c>
    </row>
    <row r="296" spans="1:8" ht="37.5">
      <c r="A296" s="460"/>
      <c r="B296" s="791" t="s">
        <v>108</v>
      </c>
      <c r="C296" s="806" t="s">
        <v>306</v>
      </c>
      <c r="D296" s="796" t="s">
        <v>98</v>
      </c>
      <c r="E296" s="796" t="s">
        <v>92</v>
      </c>
      <c r="F296" s="797" t="s">
        <v>128</v>
      </c>
      <c r="G296" s="766" t="s">
        <v>109</v>
      </c>
      <c r="H296" s="747">
        <f>'прил12(ведом 19)'!M269</f>
        <v>204.1</v>
      </c>
    </row>
    <row r="297" spans="1:8" ht="37.5">
      <c r="A297" s="460"/>
      <c r="B297" s="465" t="s">
        <v>309</v>
      </c>
      <c r="C297" s="448" t="s">
        <v>306</v>
      </c>
      <c r="D297" s="402" t="s">
        <v>150</v>
      </c>
      <c r="E297" s="402" t="s">
        <v>96</v>
      </c>
      <c r="F297" s="403" t="s">
        <v>97</v>
      </c>
      <c r="G297" s="404"/>
      <c r="H297" s="437">
        <f>H298+H309+H312</f>
        <v>19458.371999999999</v>
      </c>
    </row>
    <row r="298" spans="1:8" ht="75">
      <c r="A298" s="460"/>
      <c r="B298" s="465" t="s">
        <v>424</v>
      </c>
      <c r="C298" s="448" t="s">
        <v>306</v>
      </c>
      <c r="D298" s="402" t="s">
        <v>150</v>
      </c>
      <c r="E298" s="402" t="s">
        <v>90</v>
      </c>
      <c r="F298" s="403" t="s">
        <v>97</v>
      </c>
      <c r="G298" s="404"/>
      <c r="H298" s="437">
        <f>H299+H303+H307</f>
        <v>17054.899999999998</v>
      </c>
    </row>
    <row r="299" spans="1:8" ht="37.5">
      <c r="A299" s="460"/>
      <c r="B299" s="465" t="s">
        <v>100</v>
      </c>
      <c r="C299" s="470" t="s">
        <v>306</v>
      </c>
      <c r="D299" s="467" t="s">
        <v>150</v>
      </c>
      <c r="E299" s="467" t="s">
        <v>90</v>
      </c>
      <c r="F299" s="468" t="s">
        <v>101</v>
      </c>
      <c r="G299" s="404"/>
      <c r="H299" s="437">
        <f>SUM(H300:H302)</f>
        <v>12476.2</v>
      </c>
    </row>
    <row r="300" spans="1:8" ht="93.75">
      <c r="A300" s="460"/>
      <c r="B300" s="465" t="s">
        <v>102</v>
      </c>
      <c r="C300" s="448" t="s">
        <v>306</v>
      </c>
      <c r="D300" s="402" t="s">
        <v>150</v>
      </c>
      <c r="E300" s="402" t="s">
        <v>90</v>
      </c>
      <c r="F300" s="403" t="s">
        <v>101</v>
      </c>
      <c r="G300" s="404" t="s">
        <v>103</v>
      </c>
      <c r="H300" s="437">
        <f>'прил12(ведом 19)'!M273</f>
        <v>11789.1</v>
      </c>
    </row>
    <row r="301" spans="1:8" ht="37.5">
      <c r="A301" s="460"/>
      <c r="B301" s="436" t="s">
        <v>108</v>
      </c>
      <c r="C301" s="448" t="s">
        <v>306</v>
      </c>
      <c r="D301" s="402" t="s">
        <v>150</v>
      </c>
      <c r="E301" s="402" t="s">
        <v>90</v>
      </c>
      <c r="F301" s="403" t="s">
        <v>101</v>
      </c>
      <c r="G301" s="404" t="s">
        <v>109</v>
      </c>
      <c r="H301" s="437">
        <f>'прил12(ведом 19)'!M274</f>
        <v>685.9</v>
      </c>
    </row>
    <row r="302" spans="1:8" ht="18.75">
      <c r="A302" s="460"/>
      <c r="B302" s="465" t="s">
        <v>110</v>
      </c>
      <c r="C302" s="448" t="s">
        <v>306</v>
      </c>
      <c r="D302" s="402" t="s">
        <v>150</v>
      </c>
      <c r="E302" s="402" t="s">
        <v>90</v>
      </c>
      <c r="F302" s="403" t="s">
        <v>101</v>
      </c>
      <c r="G302" s="404" t="s">
        <v>111</v>
      </c>
      <c r="H302" s="437">
        <f>'прил12(ведом 19)'!M275</f>
        <v>1.2</v>
      </c>
    </row>
    <row r="303" spans="1:8" ht="75">
      <c r="A303" s="460"/>
      <c r="B303" s="465" t="s">
        <v>151</v>
      </c>
      <c r="C303" s="448" t="s">
        <v>306</v>
      </c>
      <c r="D303" s="402" t="s">
        <v>150</v>
      </c>
      <c r="E303" s="402" t="s">
        <v>90</v>
      </c>
      <c r="F303" s="403" t="s">
        <v>153</v>
      </c>
      <c r="G303" s="404"/>
      <c r="H303" s="437">
        <f>SUM(H304:H306)</f>
        <v>4544.8999999999996</v>
      </c>
    </row>
    <row r="304" spans="1:8" ht="93.75">
      <c r="A304" s="460"/>
      <c r="B304" s="465" t="s">
        <v>102</v>
      </c>
      <c r="C304" s="448" t="s">
        <v>306</v>
      </c>
      <c r="D304" s="402" t="s">
        <v>150</v>
      </c>
      <c r="E304" s="402" t="s">
        <v>90</v>
      </c>
      <c r="F304" s="403" t="s">
        <v>153</v>
      </c>
      <c r="G304" s="404" t="s">
        <v>103</v>
      </c>
      <c r="H304" s="437">
        <f>'прил12(ведом 19)'!M277</f>
        <v>4270.8</v>
      </c>
    </row>
    <row r="305" spans="1:8" ht="37.5">
      <c r="A305" s="460"/>
      <c r="B305" s="436" t="s">
        <v>108</v>
      </c>
      <c r="C305" s="470" t="s">
        <v>306</v>
      </c>
      <c r="D305" s="467" t="s">
        <v>150</v>
      </c>
      <c r="E305" s="467" t="s">
        <v>90</v>
      </c>
      <c r="F305" s="468" t="s">
        <v>153</v>
      </c>
      <c r="G305" s="404" t="s">
        <v>109</v>
      </c>
      <c r="H305" s="437">
        <f>'прил12(ведом 19)'!M278</f>
        <v>246.7</v>
      </c>
    </row>
    <row r="306" spans="1:8" ht="18.75">
      <c r="A306" s="460"/>
      <c r="B306" s="465" t="s">
        <v>110</v>
      </c>
      <c r="C306" s="448" t="s">
        <v>306</v>
      </c>
      <c r="D306" s="402" t="s">
        <v>150</v>
      </c>
      <c r="E306" s="402" t="s">
        <v>90</v>
      </c>
      <c r="F306" s="403" t="s">
        <v>153</v>
      </c>
      <c r="G306" s="404" t="s">
        <v>111</v>
      </c>
      <c r="H306" s="437">
        <f>'прил12(ведом 19)'!M279</f>
        <v>27.4</v>
      </c>
    </row>
    <row r="307" spans="1:8" ht="56.25">
      <c r="A307" s="460"/>
      <c r="B307" s="397" t="s">
        <v>524</v>
      </c>
      <c r="C307" s="448" t="s">
        <v>306</v>
      </c>
      <c r="D307" s="402" t="s">
        <v>150</v>
      </c>
      <c r="E307" s="402" t="s">
        <v>90</v>
      </c>
      <c r="F307" s="403" t="s">
        <v>523</v>
      </c>
      <c r="G307" s="404"/>
      <c r="H307" s="437">
        <f>H308</f>
        <v>33.799999999999997</v>
      </c>
    </row>
    <row r="308" spans="1:8" ht="37.5">
      <c r="A308" s="460"/>
      <c r="B308" s="397" t="s">
        <v>108</v>
      </c>
      <c r="C308" s="448" t="s">
        <v>306</v>
      </c>
      <c r="D308" s="402" t="s">
        <v>150</v>
      </c>
      <c r="E308" s="402" t="s">
        <v>90</v>
      </c>
      <c r="F308" s="471" t="s">
        <v>523</v>
      </c>
      <c r="G308" s="404" t="s">
        <v>109</v>
      </c>
      <c r="H308" s="437">
        <f>'прил12(ведом 19)'!M281</f>
        <v>33.799999999999997</v>
      </c>
    </row>
    <row r="309" spans="1:8" ht="37.5">
      <c r="A309" s="460"/>
      <c r="B309" s="472" t="s">
        <v>521</v>
      </c>
      <c r="C309" s="473" t="s">
        <v>306</v>
      </c>
      <c r="D309" s="474" t="s">
        <v>150</v>
      </c>
      <c r="E309" s="474" t="s">
        <v>92</v>
      </c>
      <c r="F309" s="409" t="s">
        <v>97</v>
      </c>
      <c r="G309" s="407"/>
      <c r="H309" s="437">
        <f>H310</f>
        <v>207</v>
      </c>
    </row>
    <row r="310" spans="1:8" ht="56.25">
      <c r="A310" s="460"/>
      <c r="B310" s="475" t="s">
        <v>522</v>
      </c>
      <c r="C310" s="473" t="s">
        <v>306</v>
      </c>
      <c r="D310" s="474" t="s">
        <v>150</v>
      </c>
      <c r="E310" s="474" t="s">
        <v>92</v>
      </c>
      <c r="F310" s="409" t="s">
        <v>168</v>
      </c>
      <c r="G310" s="410"/>
      <c r="H310" s="437">
        <f>H311</f>
        <v>207</v>
      </c>
    </row>
    <row r="311" spans="1:8" ht="37.5">
      <c r="A311" s="460"/>
      <c r="B311" s="476" t="s">
        <v>108</v>
      </c>
      <c r="C311" s="477" t="s">
        <v>306</v>
      </c>
      <c r="D311" s="474" t="s">
        <v>150</v>
      </c>
      <c r="E311" s="474" t="s">
        <v>92</v>
      </c>
      <c r="F311" s="409" t="s">
        <v>168</v>
      </c>
      <c r="G311" s="410" t="s">
        <v>109</v>
      </c>
      <c r="H311" s="437">
        <f>'прил12(ведом 19)'!M284</f>
        <v>207</v>
      </c>
    </row>
    <row r="312" spans="1:8" ht="37.5">
      <c r="A312" s="460"/>
      <c r="B312" s="465" t="s">
        <v>581</v>
      </c>
      <c r="C312" s="478" t="s">
        <v>306</v>
      </c>
      <c r="D312" s="479" t="s">
        <v>150</v>
      </c>
      <c r="E312" s="456" t="s">
        <v>119</v>
      </c>
      <c r="F312" s="480" t="s">
        <v>97</v>
      </c>
      <c r="G312" s="457"/>
      <c r="H312" s="437">
        <f>H313+H315</f>
        <v>2196.4720000000002</v>
      </c>
    </row>
    <row r="313" spans="1:8" ht="37.5">
      <c r="A313" s="460"/>
      <c r="B313" s="465" t="s">
        <v>489</v>
      </c>
      <c r="C313" s="478" t="s">
        <v>306</v>
      </c>
      <c r="D313" s="479" t="s">
        <v>150</v>
      </c>
      <c r="E313" s="481" t="s">
        <v>119</v>
      </c>
      <c r="F313" s="482" t="s">
        <v>488</v>
      </c>
      <c r="G313" s="457"/>
      <c r="H313" s="437">
        <f>H314</f>
        <v>196.47200000000001</v>
      </c>
    </row>
    <row r="314" spans="1:8" ht="18.75">
      <c r="A314" s="460"/>
      <c r="B314" s="400" t="s">
        <v>110</v>
      </c>
      <c r="C314" s="448" t="s">
        <v>306</v>
      </c>
      <c r="D314" s="456" t="s">
        <v>150</v>
      </c>
      <c r="E314" s="456" t="s">
        <v>119</v>
      </c>
      <c r="F314" s="480" t="s">
        <v>488</v>
      </c>
      <c r="G314" s="457" t="s">
        <v>111</v>
      </c>
      <c r="H314" s="437">
        <f>'прил12(ведом 19)'!M287</f>
        <v>196.47200000000001</v>
      </c>
    </row>
    <row r="315" spans="1:8" ht="56.25">
      <c r="A315" s="460"/>
      <c r="B315" s="815" t="s">
        <v>895</v>
      </c>
      <c r="C315" s="831" t="s">
        <v>306</v>
      </c>
      <c r="D315" s="832" t="s">
        <v>150</v>
      </c>
      <c r="E315" s="832" t="s">
        <v>119</v>
      </c>
      <c r="F315" s="833" t="s">
        <v>894</v>
      </c>
      <c r="G315" s="834"/>
      <c r="H315" s="747">
        <f>H316</f>
        <v>2000</v>
      </c>
    </row>
    <row r="316" spans="1:8" ht="37.5">
      <c r="A316" s="460"/>
      <c r="B316" s="815" t="s">
        <v>108</v>
      </c>
      <c r="C316" s="831" t="s">
        <v>306</v>
      </c>
      <c r="D316" s="832" t="s">
        <v>150</v>
      </c>
      <c r="E316" s="832" t="s">
        <v>119</v>
      </c>
      <c r="F316" s="833" t="s">
        <v>894</v>
      </c>
      <c r="G316" s="834" t="s">
        <v>109</v>
      </c>
      <c r="H316" s="747">
        <f>'прил12(ведом 19)'!M289</f>
        <v>2000</v>
      </c>
    </row>
    <row r="317" spans="1:8" ht="37.5">
      <c r="A317" s="460"/>
      <c r="B317" s="483" t="s">
        <v>491</v>
      </c>
      <c r="C317" s="448" t="s">
        <v>306</v>
      </c>
      <c r="D317" s="456" t="s">
        <v>83</v>
      </c>
      <c r="E317" s="456" t="s">
        <v>96</v>
      </c>
      <c r="F317" s="480" t="s">
        <v>97</v>
      </c>
      <c r="G317" s="457"/>
      <c r="H317" s="437">
        <f>H321+H318</f>
        <v>12059.505000000001</v>
      </c>
    </row>
    <row r="318" spans="1:8" ht="18.75">
      <c r="A318" s="460"/>
      <c r="B318" s="817" t="s">
        <v>892</v>
      </c>
      <c r="C318" s="816" t="s">
        <v>306</v>
      </c>
      <c r="D318" s="802" t="s">
        <v>83</v>
      </c>
      <c r="E318" s="802" t="s">
        <v>105</v>
      </c>
      <c r="F318" s="803" t="s">
        <v>97</v>
      </c>
      <c r="G318" s="804"/>
      <c r="H318" s="437">
        <f>H319</f>
        <v>3551.4050000000002</v>
      </c>
    </row>
    <row r="319" spans="1:8" ht="37.5">
      <c r="A319" s="460"/>
      <c r="B319" s="817" t="s">
        <v>893</v>
      </c>
      <c r="C319" s="816" t="s">
        <v>306</v>
      </c>
      <c r="D319" s="802" t="s">
        <v>83</v>
      </c>
      <c r="E319" s="802" t="s">
        <v>105</v>
      </c>
      <c r="F319" s="803" t="s">
        <v>891</v>
      </c>
      <c r="G319" s="804"/>
      <c r="H319" s="437">
        <f>H320</f>
        <v>3551.4050000000002</v>
      </c>
    </row>
    <row r="320" spans="1:8" ht="18.75">
      <c r="A320" s="460"/>
      <c r="B320" s="817" t="s">
        <v>110</v>
      </c>
      <c r="C320" s="816" t="s">
        <v>306</v>
      </c>
      <c r="D320" s="802" t="s">
        <v>83</v>
      </c>
      <c r="E320" s="802" t="s">
        <v>105</v>
      </c>
      <c r="F320" s="803" t="s">
        <v>891</v>
      </c>
      <c r="G320" s="804" t="s">
        <v>111</v>
      </c>
      <c r="H320" s="437">
        <f>'прил12(ведом 19)'!M293</f>
        <v>3551.4050000000002</v>
      </c>
    </row>
    <row r="321" spans="1:8" ht="56.25">
      <c r="A321" s="460"/>
      <c r="B321" s="764" t="s">
        <v>808</v>
      </c>
      <c r="C321" s="762" t="s">
        <v>306</v>
      </c>
      <c r="D321" s="763" t="s">
        <v>83</v>
      </c>
      <c r="E321" s="763" t="s">
        <v>121</v>
      </c>
      <c r="F321" s="765" t="s">
        <v>97</v>
      </c>
      <c r="G321" s="766"/>
      <c r="H321" s="747">
        <f>H322</f>
        <v>8508.1</v>
      </c>
    </row>
    <row r="322" spans="1:8" ht="168.75">
      <c r="A322" s="460"/>
      <c r="B322" s="405" t="s">
        <v>539</v>
      </c>
      <c r="C322" s="401" t="s">
        <v>306</v>
      </c>
      <c r="D322" s="402" t="s">
        <v>83</v>
      </c>
      <c r="E322" s="402" t="s">
        <v>121</v>
      </c>
      <c r="F322" s="406" t="s">
        <v>540</v>
      </c>
      <c r="G322" s="407"/>
      <c r="H322" s="437">
        <f>H323</f>
        <v>8508.1</v>
      </c>
    </row>
    <row r="323" spans="1:8" ht="37.5">
      <c r="A323" s="460"/>
      <c r="B323" s="759" t="s">
        <v>282</v>
      </c>
      <c r="C323" s="818" t="s">
        <v>306</v>
      </c>
      <c r="D323" s="402" t="s">
        <v>83</v>
      </c>
      <c r="E323" s="402" t="s">
        <v>121</v>
      </c>
      <c r="F323" s="819" t="s">
        <v>540</v>
      </c>
      <c r="G323" s="760" t="s">
        <v>283</v>
      </c>
      <c r="H323" s="750">
        <f>'прил12(ведом 19)'!M341</f>
        <v>8508.1</v>
      </c>
    </row>
    <row r="324" spans="1:8" ht="18.75">
      <c r="A324" s="460"/>
      <c r="B324" s="440"/>
      <c r="C324" s="761"/>
      <c r="D324" s="452"/>
      <c r="E324" s="452"/>
      <c r="F324" s="612"/>
      <c r="G324" s="422"/>
      <c r="H324" s="437"/>
    </row>
    <row r="325" spans="1:8" s="435" customFormat="1" ht="56.25">
      <c r="A325" s="441">
        <v>8</v>
      </c>
      <c r="B325" s="462" t="s">
        <v>407</v>
      </c>
      <c r="C325" s="442" t="s">
        <v>139</v>
      </c>
      <c r="D325" s="442" t="s">
        <v>95</v>
      </c>
      <c r="E325" s="442" t="s">
        <v>96</v>
      </c>
      <c r="F325" s="443" t="s">
        <v>97</v>
      </c>
      <c r="G325" s="433"/>
      <c r="H325" s="434">
        <f>H326</f>
        <v>111103.50000000001</v>
      </c>
    </row>
    <row r="326" spans="1:8" ht="37.5">
      <c r="A326" s="423"/>
      <c r="B326" s="436" t="s">
        <v>491</v>
      </c>
      <c r="C326" s="401" t="s">
        <v>139</v>
      </c>
      <c r="D326" s="402" t="s">
        <v>98</v>
      </c>
      <c r="E326" s="402" t="s">
        <v>96</v>
      </c>
      <c r="F326" s="484" t="s">
        <v>97</v>
      </c>
      <c r="G326" s="422"/>
      <c r="H326" s="437">
        <f>H327+H342+H351+H361+H364</f>
        <v>111103.50000000001</v>
      </c>
    </row>
    <row r="327" spans="1:8" ht="37.5">
      <c r="A327" s="423"/>
      <c r="B327" s="436" t="s">
        <v>392</v>
      </c>
      <c r="C327" s="194" t="s">
        <v>139</v>
      </c>
      <c r="D327" s="195" t="s">
        <v>98</v>
      </c>
      <c r="E327" s="195" t="s">
        <v>90</v>
      </c>
      <c r="F327" s="196" t="s">
        <v>97</v>
      </c>
      <c r="G327" s="422"/>
      <c r="H327" s="437">
        <f>H328+H331+H334+H337+H340</f>
        <v>60150.8</v>
      </c>
    </row>
    <row r="328" spans="1:8" ht="131.25">
      <c r="A328" s="423"/>
      <c r="B328" s="485" t="s">
        <v>535</v>
      </c>
      <c r="C328" s="194" t="s">
        <v>139</v>
      </c>
      <c r="D328" s="195" t="s">
        <v>98</v>
      </c>
      <c r="E328" s="195" t="s">
        <v>90</v>
      </c>
      <c r="F328" s="196" t="s">
        <v>409</v>
      </c>
      <c r="G328" s="197"/>
      <c r="H328" s="437">
        <f>SUM(H329:H330)</f>
        <v>33015.800000000003</v>
      </c>
    </row>
    <row r="329" spans="1:8" ht="37.5">
      <c r="A329" s="423"/>
      <c r="B329" s="486" t="s">
        <v>108</v>
      </c>
      <c r="C329" s="194" t="s">
        <v>139</v>
      </c>
      <c r="D329" s="195" t="s">
        <v>98</v>
      </c>
      <c r="E329" s="195" t="s">
        <v>90</v>
      </c>
      <c r="F329" s="196" t="s">
        <v>409</v>
      </c>
      <c r="G329" s="197" t="s">
        <v>109</v>
      </c>
      <c r="H329" s="437">
        <f>'прил12(ведом 19)'!M647</f>
        <v>164.3</v>
      </c>
    </row>
    <row r="330" spans="1:8" ht="37.5">
      <c r="A330" s="423"/>
      <c r="B330" s="436" t="s">
        <v>183</v>
      </c>
      <c r="C330" s="194" t="s">
        <v>139</v>
      </c>
      <c r="D330" s="195" t="s">
        <v>98</v>
      </c>
      <c r="E330" s="195" t="s">
        <v>90</v>
      </c>
      <c r="F330" s="196" t="s">
        <v>409</v>
      </c>
      <c r="G330" s="197" t="s">
        <v>184</v>
      </c>
      <c r="H330" s="437">
        <f>'прил12(ведом 19)'!M648</f>
        <v>32851.5</v>
      </c>
    </row>
    <row r="331" spans="1:8" ht="93.75">
      <c r="A331" s="423"/>
      <c r="B331" s="436" t="s">
        <v>536</v>
      </c>
      <c r="C331" s="194" t="s">
        <v>139</v>
      </c>
      <c r="D331" s="195" t="s">
        <v>98</v>
      </c>
      <c r="E331" s="195" t="s">
        <v>90</v>
      </c>
      <c r="F331" s="196" t="s">
        <v>410</v>
      </c>
      <c r="G331" s="197"/>
      <c r="H331" s="437">
        <f>SUM(H332:H333)</f>
        <v>26177</v>
      </c>
    </row>
    <row r="332" spans="1:8" ht="37.5">
      <c r="A332" s="423"/>
      <c r="B332" s="486" t="s">
        <v>108</v>
      </c>
      <c r="C332" s="194" t="s">
        <v>139</v>
      </c>
      <c r="D332" s="195" t="s">
        <v>98</v>
      </c>
      <c r="E332" s="195" t="s">
        <v>90</v>
      </c>
      <c r="F332" s="196" t="s">
        <v>410</v>
      </c>
      <c r="G332" s="197" t="s">
        <v>109</v>
      </c>
      <c r="H332" s="437">
        <f>'прил12(ведом 19)'!M650</f>
        <v>130.19999999999999</v>
      </c>
    </row>
    <row r="333" spans="1:8" ht="37.5">
      <c r="A333" s="423"/>
      <c r="B333" s="436" t="s">
        <v>183</v>
      </c>
      <c r="C333" s="194" t="s">
        <v>139</v>
      </c>
      <c r="D333" s="195" t="s">
        <v>98</v>
      </c>
      <c r="E333" s="195" t="s">
        <v>90</v>
      </c>
      <c r="F333" s="196" t="s">
        <v>410</v>
      </c>
      <c r="G333" s="197" t="s">
        <v>184</v>
      </c>
      <c r="H333" s="437">
        <f>'прил12(ведом 19)'!M651</f>
        <v>26046.799999999999</v>
      </c>
    </row>
    <row r="334" spans="1:8" ht="93.75">
      <c r="A334" s="423"/>
      <c r="B334" s="436" t="s">
        <v>537</v>
      </c>
      <c r="C334" s="194" t="s">
        <v>139</v>
      </c>
      <c r="D334" s="195" t="s">
        <v>98</v>
      </c>
      <c r="E334" s="195" t="s">
        <v>90</v>
      </c>
      <c r="F334" s="196" t="s">
        <v>411</v>
      </c>
      <c r="G334" s="197"/>
      <c r="H334" s="437">
        <f>SUM(H335:H336)</f>
        <v>449.4</v>
      </c>
    </row>
    <row r="335" spans="1:8" ht="37.5">
      <c r="A335" s="423"/>
      <c r="B335" s="436" t="s">
        <v>108</v>
      </c>
      <c r="C335" s="194" t="s">
        <v>139</v>
      </c>
      <c r="D335" s="195" t="s">
        <v>98</v>
      </c>
      <c r="E335" s="195" t="s">
        <v>90</v>
      </c>
      <c r="F335" s="196" t="s">
        <v>411</v>
      </c>
      <c r="G335" s="197" t="s">
        <v>109</v>
      </c>
      <c r="H335" s="437">
        <f>'прил12(ведом 19)'!M653</f>
        <v>2.2000000000000002</v>
      </c>
    </row>
    <row r="336" spans="1:8" ht="37.5">
      <c r="A336" s="423"/>
      <c r="B336" s="436" t="s">
        <v>183</v>
      </c>
      <c r="C336" s="194" t="s">
        <v>139</v>
      </c>
      <c r="D336" s="195" t="s">
        <v>98</v>
      </c>
      <c r="E336" s="195" t="s">
        <v>90</v>
      </c>
      <c r="F336" s="196" t="s">
        <v>411</v>
      </c>
      <c r="G336" s="197" t="s">
        <v>184</v>
      </c>
      <c r="H336" s="437">
        <f>'прил12(ведом 19)'!M654</f>
        <v>447.2</v>
      </c>
    </row>
    <row r="337" spans="1:8" ht="112.5">
      <c r="A337" s="423"/>
      <c r="B337" s="436" t="s">
        <v>555</v>
      </c>
      <c r="C337" s="194" t="s">
        <v>139</v>
      </c>
      <c r="D337" s="195" t="s">
        <v>98</v>
      </c>
      <c r="E337" s="195" t="s">
        <v>90</v>
      </c>
      <c r="F337" s="196" t="s">
        <v>412</v>
      </c>
      <c r="G337" s="197"/>
      <c r="H337" s="437">
        <f>SUM(H338:H339)</f>
        <v>493</v>
      </c>
    </row>
    <row r="338" spans="1:8" ht="37.5">
      <c r="A338" s="423"/>
      <c r="B338" s="436" t="s">
        <v>108</v>
      </c>
      <c r="C338" s="194" t="s">
        <v>139</v>
      </c>
      <c r="D338" s="195" t="s">
        <v>98</v>
      </c>
      <c r="E338" s="195" t="s">
        <v>90</v>
      </c>
      <c r="F338" s="196" t="s">
        <v>412</v>
      </c>
      <c r="G338" s="197" t="s">
        <v>109</v>
      </c>
      <c r="H338" s="437">
        <f>'прил12(ведом 19)'!M656</f>
        <v>2.5</v>
      </c>
    </row>
    <row r="339" spans="1:8" ht="37.5">
      <c r="A339" s="423"/>
      <c r="B339" s="436" t="s">
        <v>183</v>
      </c>
      <c r="C339" s="194" t="s">
        <v>139</v>
      </c>
      <c r="D339" s="195" t="s">
        <v>98</v>
      </c>
      <c r="E339" s="195" t="s">
        <v>90</v>
      </c>
      <c r="F339" s="196" t="s">
        <v>412</v>
      </c>
      <c r="G339" s="197" t="s">
        <v>184</v>
      </c>
      <c r="H339" s="437">
        <f>'прил12(ведом 19)'!M657</f>
        <v>490.5</v>
      </c>
    </row>
    <row r="340" spans="1:8" ht="150">
      <c r="A340" s="423"/>
      <c r="B340" s="487" t="s">
        <v>534</v>
      </c>
      <c r="C340" s="194" t="s">
        <v>139</v>
      </c>
      <c r="D340" s="195" t="s">
        <v>98</v>
      </c>
      <c r="E340" s="195" t="s">
        <v>90</v>
      </c>
      <c r="F340" s="196" t="s">
        <v>408</v>
      </c>
      <c r="G340" s="197"/>
      <c r="H340" s="437">
        <f>H341</f>
        <v>15.6</v>
      </c>
    </row>
    <row r="341" spans="1:8" ht="37.5">
      <c r="A341" s="423"/>
      <c r="B341" s="436" t="s">
        <v>183</v>
      </c>
      <c r="C341" s="194" t="s">
        <v>139</v>
      </c>
      <c r="D341" s="195" t="s">
        <v>98</v>
      </c>
      <c r="E341" s="195" t="s">
        <v>90</v>
      </c>
      <c r="F341" s="196" t="s">
        <v>408</v>
      </c>
      <c r="G341" s="197" t="s">
        <v>184</v>
      </c>
      <c r="H341" s="437">
        <f>'прил12(ведом 19)'!M640</f>
        <v>15.6</v>
      </c>
    </row>
    <row r="342" spans="1:8" ht="75">
      <c r="A342" s="423"/>
      <c r="B342" s="465" t="s">
        <v>421</v>
      </c>
      <c r="C342" s="401" t="s">
        <v>139</v>
      </c>
      <c r="D342" s="402" t="s">
        <v>98</v>
      </c>
      <c r="E342" s="402" t="s">
        <v>92</v>
      </c>
      <c r="F342" s="484" t="s">
        <v>97</v>
      </c>
      <c r="G342" s="404"/>
      <c r="H342" s="437">
        <f>H343+H345+H349+H347</f>
        <v>42543.900000000009</v>
      </c>
    </row>
    <row r="343" spans="1:8" ht="187.5">
      <c r="A343" s="423"/>
      <c r="B343" s="485" t="s">
        <v>543</v>
      </c>
      <c r="C343" s="195" t="s">
        <v>139</v>
      </c>
      <c r="D343" s="195" t="s">
        <v>98</v>
      </c>
      <c r="E343" s="195" t="s">
        <v>92</v>
      </c>
      <c r="F343" s="196" t="s">
        <v>544</v>
      </c>
      <c r="G343" s="197"/>
      <c r="H343" s="437">
        <f>H344</f>
        <v>5.2</v>
      </c>
    </row>
    <row r="344" spans="1:8" ht="37.5">
      <c r="A344" s="423"/>
      <c r="B344" s="436" t="s">
        <v>183</v>
      </c>
      <c r="C344" s="195" t="s">
        <v>139</v>
      </c>
      <c r="D344" s="195" t="s">
        <v>98</v>
      </c>
      <c r="E344" s="195" t="s">
        <v>92</v>
      </c>
      <c r="F344" s="196" t="s">
        <v>544</v>
      </c>
      <c r="G344" s="197" t="s">
        <v>184</v>
      </c>
      <c r="H344" s="437">
        <f>'прил12(ведом 19)'!M660</f>
        <v>5.2</v>
      </c>
    </row>
    <row r="345" spans="1:8" ht="281.25">
      <c r="A345" s="423"/>
      <c r="B345" s="485" t="s">
        <v>554</v>
      </c>
      <c r="C345" s="195" t="s">
        <v>139</v>
      </c>
      <c r="D345" s="195" t="s">
        <v>98</v>
      </c>
      <c r="E345" s="195" t="s">
        <v>92</v>
      </c>
      <c r="F345" s="196" t="s">
        <v>545</v>
      </c>
      <c r="G345" s="197"/>
      <c r="H345" s="437">
        <f>H346</f>
        <v>165</v>
      </c>
    </row>
    <row r="346" spans="1:8" ht="37.5">
      <c r="A346" s="423"/>
      <c r="B346" s="436" t="s">
        <v>183</v>
      </c>
      <c r="C346" s="195" t="s">
        <v>139</v>
      </c>
      <c r="D346" s="195" t="s">
        <v>98</v>
      </c>
      <c r="E346" s="195" t="s">
        <v>92</v>
      </c>
      <c r="F346" s="196" t="s">
        <v>545</v>
      </c>
      <c r="G346" s="197" t="s">
        <v>184</v>
      </c>
      <c r="H346" s="437">
        <f>'прил12(ведом 19)'!M662</f>
        <v>165</v>
      </c>
    </row>
    <row r="347" spans="1:8" ht="94.5" customHeight="1">
      <c r="A347" s="423"/>
      <c r="B347" s="400" t="s">
        <v>422</v>
      </c>
      <c r="C347" s="401" t="s">
        <v>139</v>
      </c>
      <c r="D347" s="456" t="s">
        <v>98</v>
      </c>
      <c r="E347" s="456" t="s">
        <v>92</v>
      </c>
      <c r="F347" s="484" t="s">
        <v>820</v>
      </c>
      <c r="G347" s="404"/>
      <c r="H347" s="437">
        <f>H348</f>
        <v>34180.200000000004</v>
      </c>
    </row>
    <row r="348" spans="1:8" ht="37.5">
      <c r="A348" s="423"/>
      <c r="B348" s="400" t="s">
        <v>282</v>
      </c>
      <c r="C348" s="401" t="s">
        <v>139</v>
      </c>
      <c r="D348" s="456" t="s">
        <v>98</v>
      </c>
      <c r="E348" s="456" t="s">
        <v>92</v>
      </c>
      <c r="F348" s="484" t="s">
        <v>820</v>
      </c>
      <c r="G348" s="500" t="s">
        <v>283</v>
      </c>
      <c r="H348" s="437">
        <f>'прил12(ведом 19)'!M348</f>
        <v>34180.200000000004</v>
      </c>
    </row>
    <row r="349" spans="1:8" ht="97.5" customHeight="1">
      <c r="A349" s="423"/>
      <c r="B349" s="400" t="s">
        <v>422</v>
      </c>
      <c r="C349" s="401" t="s">
        <v>139</v>
      </c>
      <c r="D349" s="456" t="s">
        <v>98</v>
      </c>
      <c r="E349" s="456" t="s">
        <v>92</v>
      </c>
      <c r="F349" s="484" t="s">
        <v>423</v>
      </c>
      <c r="G349" s="404"/>
      <c r="H349" s="437">
        <f>H350</f>
        <v>8193.5</v>
      </c>
    </row>
    <row r="350" spans="1:8" ht="37.5">
      <c r="A350" s="423"/>
      <c r="B350" s="400" t="s">
        <v>282</v>
      </c>
      <c r="C350" s="401" t="s">
        <v>139</v>
      </c>
      <c r="D350" s="456" t="s">
        <v>98</v>
      </c>
      <c r="E350" s="456" t="s">
        <v>92</v>
      </c>
      <c r="F350" s="484" t="s">
        <v>423</v>
      </c>
      <c r="G350" s="500" t="s">
        <v>283</v>
      </c>
      <c r="H350" s="437">
        <f>'прил12(ведом 19)'!M350</f>
        <v>8193.5</v>
      </c>
    </row>
    <row r="351" spans="1:8" ht="37.5">
      <c r="A351" s="423"/>
      <c r="B351" s="436" t="s">
        <v>309</v>
      </c>
      <c r="C351" s="194" t="s">
        <v>139</v>
      </c>
      <c r="D351" s="195" t="s">
        <v>98</v>
      </c>
      <c r="E351" s="195" t="s">
        <v>119</v>
      </c>
      <c r="F351" s="196" t="s">
        <v>97</v>
      </c>
      <c r="G351" s="197"/>
      <c r="H351" s="437">
        <f>H352+H355+H358</f>
        <v>6248.8</v>
      </c>
    </row>
    <row r="352" spans="1:8" ht="75">
      <c r="A352" s="423"/>
      <c r="B352" s="436" t="s">
        <v>311</v>
      </c>
      <c r="C352" s="194" t="s">
        <v>139</v>
      </c>
      <c r="D352" s="195" t="s">
        <v>98</v>
      </c>
      <c r="E352" s="195" t="s">
        <v>119</v>
      </c>
      <c r="F352" s="196" t="s">
        <v>414</v>
      </c>
      <c r="G352" s="197"/>
      <c r="H352" s="437">
        <f>SUM(H353:H354)</f>
        <v>4784.5</v>
      </c>
    </row>
    <row r="353" spans="1:8" ht="93.75">
      <c r="A353" s="423"/>
      <c r="B353" s="436" t="s">
        <v>102</v>
      </c>
      <c r="C353" s="194" t="s">
        <v>139</v>
      </c>
      <c r="D353" s="195" t="s">
        <v>98</v>
      </c>
      <c r="E353" s="195" t="s">
        <v>119</v>
      </c>
      <c r="F353" s="196" t="s">
        <v>414</v>
      </c>
      <c r="G353" s="197" t="s">
        <v>103</v>
      </c>
      <c r="H353" s="437">
        <f>'прил12(ведом 19)'!M668</f>
        <v>4434.5</v>
      </c>
    </row>
    <row r="354" spans="1:8" ht="37.5">
      <c r="A354" s="423"/>
      <c r="B354" s="436" t="s">
        <v>108</v>
      </c>
      <c r="C354" s="488" t="s">
        <v>139</v>
      </c>
      <c r="D354" s="489" t="s">
        <v>98</v>
      </c>
      <c r="E354" s="489" t="s">
        <v>119</v>
      </c>
      <c r="F354" s="490" t="s">
        <v>414</v>
      </c>
      <c r="G354" s="197" t="s">
        <v>109</v>
      </c>
      <c r="H354" s="437">
        <f>'прил12(ведом 19)'!M669</f>
        <v>350</v>
      </c>
    </row>
    <row r="355" spans="1:8" ht="56.25">
      <c r="A355" s="423"/>
      <c r="B355" s="397" t="s">
        <v>601</v>
      </c>
      <c r="C355" s="194" t="s">
        <v>139</v>
      </c>
      <c r="D355" s="195" t="s">
        <v>98</v>
      </c>
      <c r="E355" s="195" t="s">
        <v>119</v>
      </c>
      <c r="F355" s="196" t="s">
        <v>415</v>
      </c>
      <c r="G355" s="197"/>
      <c r="H355" s="437">
        <f>SUM(H356:H357)</f>
        <v>617.29999999999995</v>
      </c>
    </row>
    <row r="356" spans="1:8" ht="93.75">
      <c r="A356" s="423"/>
      <c r="B356" s="436" t="s">
        <v>102</v>
      </c>
      <c r="C356" s="194" t="s">
        <v>139</v>
      </c>
      <c r="D356" s="195" t="s">
        <v>98</v>
      </c>
      <c r="E356" s="195" t="s">
        <v>119</v>
      </c>
      <c r="F356" s="196" t="s">
        <v>415</v>
      </c>
      <c r="G356" s="197" t="s">
        <v>103</v>
      </c>
      <c r="H356" s="437">
        <f>'прил12(ведом 19)'!M671</f>
        <v>567.29999999999995</v>
      </c>
    </row>
    <row r="357" spans="1:8" ht="37.5">
      <c r="A357" s="423"/>
      <c r="B357" s="436" t="s">
        <v>108</v>
      </c>
      <c r="C357" s="194" t="s">
        <v>139</v>
      </c>
      <c r="D357" s="195" t="s">
        <v>98</v>
      </c>
      <c r="E357" s="195" t="s">
        <v>119</v>
      </c>
      <c r="F357" s="196" t="s">
        <v>415</v>
      </c>
      <c r="G357" s="197" t="s">
        <v>109</v>
      </c>
      <c r="H357" s="437">
        <f>'прил12(ведом 19)'!M672</f>
        <v>50</v>
      </c>
    </row>
    <row r="358" spans="1:8" ht="18.75">
      <c r="A358" s="423"/>
      <c r="B358" s="436" t="s">
        <v>312</v>
      </c>
      <c r="C358" s="194" t="s">
        <v>139</v>
      </c>
      <c r="D358" s="195" t="s">
        <v>98</v>
      </c>
      <c r="E358" s="195" t="s">
        <v>119</v>
      </c>
      <c r="F358" s="196" t="s">
        <v>416</v>
      </c>
      <c r="G358" s="197"/>
      <c r="H358" s="437">
        <f>H359+H360</f>
        <v>847</v>
      </c>
    </row>
    <row r="359" spans="1:8" ht="93.75">
      <c r="A359" s="423"/>
      <c r="B359" s="436" t="s">
        <v>102</v>
      </c>
      <c r="C359" s="194" t="s">
        <v>139</v>
      </c>
      <c r="D359" s="195" t="s">
        <v>98</v>
      </c>
      <c r="E359" s="195" t="s">
        <v>119</v>
      </c>
      <c r="F359" s="196" t="s">
        <v>416</v>
      </c>
      <c r="G359" s="197" t="s">
        <v>103</v>
      </c>
      <c r="H359" s="437">
        <f>'прил12(ведом 19)'!M674</f>
        <v>767</v>
      </c>
    </row>
    <row r="360" spans="1:8" ht="37.5">
      <c r="A360" s="423"/>
      <c r="B360" s="436" t="s">
        <v>108</v>
      </c>
      <c r="C360" s="194" t="s">
        <v>139</v>
      </c>
      <c r="D360" s="195" t="s">
        <v>98</v>
      </c>
      <c r="E360" s="195" t="s">
        <v>119</v>
      </c>
      <c r="F360" s="196" t="s">
        <v>416</v>
      </c>
      <c r="G360" s="197" t="s">
        <v>109</v>
      </c>
      <c r="H360" s="437">
        <f>'прил12(ведом 19)'!M675</f>
        <v>80</v>
      </c>
    </row>
    <row r="361" spans="1:8" ht="78" customHeight="1">
      <c r="A361" s="460"/>
      <c r="B361" s="445" t="s">
        <v>542</v>
      </c>
      <c r="C361" s="194" t="s">
        <v>139</v>
      </c>
      <c r="D361" s="195" t="s">
        <v>98</v>
      </c>
      <c r="E361" s="195" t="s">
        <v>105</v>
      </c>
      <c r="F361" s="196" t="s">
        <v>97</v>
      </c>
      <c r="G361" s="197"/>
      <c r="H361" s="437">
        <f>H362</f>
        <v>276</v>
      </c>
    </row>
    <row r="362" spans="1:8" ht="75">
      <c r="A362" s="460"/>
      <c r="B362" s="445" t="s">
        <v>527</v>
      </c>
      <c r="C362" s="194" t="s">
        <v>139</v>
      </c>
      <c r="D362" s="195" t="s">
        <v>98</v>
      </c>
      <c r="E362" s="195" t="s">
        <v>105</v>
      </c>
      <c r="F362" s="196" t="s">
        <v>526</v>
      </c>
      <c r="G362" s="197"/>
      <c r="H362" s="437">
        <f>H363</f>
        <v>276</v>
      </c>
    </row>
    <row r="363" spans="1:8" ht="29.25" customHeight="1">
      <c r="A363" s="460"/>
      <c r="B363" s="438" t="s">
        <v>183</v>
      </c>
      <c r="C363" s="194" t="s">
        <v>139</v>
      </c>
      <c r="D363" s="195" t="s">
        <v>98</v>
      </c>
      <c r="E363" s="195" t="s">
        <v>105</v>
      </c>
      <c r="F363" s="196" t="s">
        <v>526</v>
      </c>
      <c r="G363" s="197" t="s">
        <v>184</v>
      </c>
      <c r="H363" s="437">
        <f>'прил12(ведом 19)'!M179</f>
        <v>276</v>
      </c>
    </row>
    <row r="364" spans="1:8" ht="37.5">
      <c r="A364" s="460"/>
      <c r="B364" s="491" t="s">
        <v>812</v>
      </c>
      <c r="C364" s="194" t="s">
        <v>139</v>
      </c>
      <c r="D364" s="195" t="s">
        <v>98</v>
      </c>
      <c r="E364" s="195" t="s">
        <v>121</v>
      </c>
      <c r="F364" s="196" t="s">
        <v>97</v>
      </c>
      <c r="G364" s="197"/>
      <c r="H364" s="437">
        <f>H365</f>
        <v>1884</v>
      </c>
    </row>
    <row r="365" spans="1:8" ht="56.25">
      <c r="A365" s="460"/>
      <c r="B365" s="491" t="s">
        <v>814</v>
      </c>
      <c r="C365" s="194" t="s">
        <v>139</v>
      </c>
      <c r="D365" s="195" t="s">
        <v>98</v>
      </c>
      <c r="E365" s="195" t="s">
        <v>121</v>
      </c>
      <c r="F365" s="196" t="s">
        <v>815</v>
      </c>
      <c r="G365" s="197"/>
      <c r="H365" s="437">
        <f>H366</f>
        <v>1884</v>
      </c>
    </row>
    <row r="366" spans="1:8" ht="43.5" customHeight="1">
      <c r="A366" s="460"/>
      <c r="B366" s="492" t="s">
        <v>813</v>
      </c>
      <c r="C366" s="194" t="s">
        <v>139</v>
      </c>
      <c r="D366" s="195" t="s">
        <v>98</v>
      </c>
      <c r="E366" s="195" t="s">
        <v>121</v>
      </c>
      <c r="F366" s="196" t="s">
        <v>815</v>
      </c>
      <c r="G366" s="197" t="s">
        <v>184</v>
      </c>
      <c r="H366" s="437">
        <f>'прил12(ведом 19)'!M185</f>
        <v>1884</v>
      </c>
    </row>
    <row r="367" spans="1:8" ht="18.75">
      <c r="A367" s="423"/>
      <c r="B367" s="436"/>
      <c r="C367" s="195"/>
      <c r="D367" s="195"/>
      <c r="E367" s="195"/>
      <c r="F367" s="196"/>
      <c r="G367" s="197"/>
      <c r="H367" s="437"/>
    </row>
    <row r="368" spans="1:8" ht="75">
      <c r="A368" s="441">
        <v>9</v>
      </c>
      <c r="B368" s="455" t="s">
        <v>482</v>
      </c>
      <c r="C368" s="442" t="s">
        <v>167</v>
      </c>
      <c r="D368" s="442" t="s">
        <v>95</v>
      </c>
      <c r="E368" s="442" t="s">
        <v>96</v>
      </c>
      <c r="F368" s="443" t="s">
        <v>97</v>
      </c>
      <c r="G368" s="493"/>
      <c r="H368" s="434">
        <f>H375+H369</f>
        <v>18248.5</v>
      </c>
    </row>
    <row r="369" spans="1:8" ht="37.5">
      <c r="A369" s="441"/>
      <c r="B369" s="436" t="s">
        <v>484</v>
      </c>
      <c r="C369" s="194" t="s">
        <v>167</v>
      </c>
      <c r="D369" s="195" t="s">
        <v>98</v>
      </c>
      <c r="E369" s="195" t="s">
        <v>96</v>
      </c>
      <c r="F369" s="196" t="s">
        <v>97</v>
      </c>
      <c r="G369" s="197"/>
      <c r="H369" s="437">
        <f>H370</f>
        <v>18212.8</v>
      </c>
    </row>
    <row r="370" spans="1:8" ht="56.25">
      <c r="A370" s="441"/>
      <c r="B370" s="397" t="s">
        <v>572</v>
      </c>
      <c r="C370" s="194" t="s">
        <v>167</v>
      </c>
      <c r="D370" s="195" t="s">
        <v>98</v>
      </c>
      <c r="E370" s="195" t="s">
        <v>90</v>
      </c>
      <c r="F370" s="196" t="s">
        <v>97</v>
      </c>
      <c r="G370" s="197"/>
      <c r="H370" s="437">
        <f>H371+H373</f>
        <v>18212.8</v>
      </c>
    </row>
    <row r="371" spans="1:8" ht="56.25">
      <c r="A371" s="441"/>
      <c r="B371" s="436" t="s">
        <v>485</v>
      </c>
      <c r="C371" s="194" t="s">
        <v>167</v>
      </c>
      <c r="D371" s="195" t="s">
        <v>98</v>
      </c>
      <c r="E371" s="195" t="s">
        <v>90</v>
      </c>
      <c r="F371" s="196" t="s">
        <v>486</v>
      </c>
      <c r="G371" s="197"/>
      <c r="H371" s="437">
        <f>SUM(H372:H372)</f>
        <v>1815.2820000000002</v>
      </c>
    </row>
    <row r="372" spans="1:8" ht="37.5">
      <c r="A372" s="441"/>
      <c r="B372" s="436" t="s">
        <v>282</v>
      </c>
      <c r="C372" s="194" t="s">
        <v>167</v>
      </c>
      <c r="D372" s="195" t="s">
        <v>98</v>
      </c>
      <c r="E372" s="195" t="s">
        <v>90</v>
      </c>
      <c r="F372" s="196" t="s">
        <v>486</v>
      </c>
      <c r="G372" s="197" t="s">
        <v>283</v>
      </c>
      <c r="H372" s="437">
        <f>'прил12(ведом 19)'!M319+'прил12(ведом 19)'!M166</f>
        <v>1815.2820000000002</v>
      </c>
    </row>
    <row r="373" spans="1:8" ht="37.5">
      <c r="A373" s="441"/>
      <c r="B373" s="436" t="s">
        <v>873</v>
      </c>
      <c r="C373" s="194" t="s">
        <v>167</v>
      </c>
      <c r="D373" s="195" t="s">
        <v>98</v>
      </c>
      <c r="E373" s="195" t="s">
        <v>90</v>
      </c>
      <c r="F373" s="196" t="s">
        <v>868</v>
      </c>
      <c r="G373" s="197"/>
      <c r="H373" s="437">
        <f>H374</f>
        <v>16397.518</v>
      </c>
    </row>
    <row r="374" spans="1:8" ht="37.5">
      <c r="A374" s="441"/>
      <c r="B374" s="436" t="s">
        <v>282</v>
      </c>
      <c r="C374" s="194" t="s">
        <v>167</v>
      </c>
      <c r="D374" s="195" t="s">
        <v>98</v>
      </c>
      <c r="E374" s="195" t="s">
        <v>90</v>
      </c>
      <c r="F374" s="196" t="s">
        <v>868</v>
      </c>
      <c r="G374" s="197" t="s">
        <v>283</v>
      </c>
      <c r="H374" s="437">
        <f>'прил12(ведом 19)'!M321</f>
        <v>16397.518</v>
      </c>
    </row>
    <row r="375" spans="1:8" ht="37.5">
      <c r="A375" s="460"/>
      <c r="B375" s="436" t="s">
        <v>491</v>
      </c>
      <c r="C375" s="194" t="s">
        <v>167</v>
      </c>
      <c r="D375" s="195" t="s">
        <v>83</v>
      </c>
      <c r="E375" s="195" t="s">
        <v>96</v>
      </c>
      <c r="F375" s="196" t="s">
        <v>97</v>
      </c>
      <c r="G375" s="197"/>
      <c r="H375" s="437">
        <f>H376</f>
        <v>35.700000000000003</v>
      </c>
    </row>
    <row r="376" spans="1:8" ht="56.25">
      <c r="A376" s="460"/>
      <c r="B376" s="436" t="s">
        <v>477</v>
      </c>
      <c r="C376" s="194" t="s">
        <v>167</v>
      </c>
      <c r="D376" s="195" t="s">
        <v>83</v>
      </c>
      <c r="E376" s="195" t="s">
        <v>139</v>
      </c>
      <c r="F376" s="196" t="s">
        <v>97</v>
      </c>
      <c r="G376" s="197"/>
      <c r="H376" s="437">
        <f>H377</f>
        <v>35.700000000000003</v>
      </c>
    </row>
    <row r="377" spans="1:8" ht="18.75">
      <c r="A377" s="460"/>
      <c r="B377" s="436" t="s">
        <v>494</v>
      </c>
      <c r="C377" s="194" t="s">
        <v>167</v>
      </c>
      <c r="D377" s="195" t="s">
        <v>83</v>
      </c>
      <c r="E377" s="195" t="s">
        <v>139</v>
      </c>
      <c r="F377" s="196" t="s">
        <v>478</v>
      </c>
      <c r="G377" s="197"/>
      <c r="H377" s="437">
        <f>H378</f>
        <v>35.700000000000003</v>
      </c>
    </row>
    <row r="378" spans="1:8" ht="18.75">
      <c r="A378" s="460"/>
      <c r="B378" s="436" t="s">
        <v>186</v>
      </c>
      <c r="C378" s="194" t="s">
        <v>167</v>
      </c>
      <c r="D378" s="195" t="s">
        <v>83</v>
      </c>
      <c r="E378" s="195" t="s">
        <v>139</v>
      </c>
      <c r="F378" s="196" t="s">
        <v>478</v>
      </c>
      <c r="G378" s="197" t="s">
        <v>187</v>
      </c>
      <c r="H378" s="437">
        <f>'прил12(ведом 19)'!M172</f>
        <v>35.700000000000003</v>
      </c>
    </row>
    <row r="379" spans="1:8" ht="18.75">
      <c r="A379" s="460"/>
      <c r="B379" s="438"/>
      <c r="C379" s="402"/>
      <c r="D379" s="553"/>
      <c r="E379" s="553"/>
      <c r="F379" s="554"/>
      <c r="G379" s="422"/>
      <c r="H379" s="437"/>
    </row>
    <row r="380" spans="1:8" s="435" customFormat="1" ht="56.25">
      <c r="A380" s="441">
        <v>10</v>
      </c>
      <c r="B380" s="455" t="s">
        <v>156</v>
      </c>
      <c r="C380" s="442" t="s">
        <v>123</v>
      </c>
      <c r="D380" s="442" t="s">
        <v>95</v>
      </c>
      <c r="E380" s="442" t="s">
        <v>96</v>
      </c>
      <c r="F380" s="443" t="s">
        <v>97</v>
      </c>
      <c r="G380" s="493"/>
      <c r="H380" s="434">
        <f>H381</f>
        <v>17441.2</v>
      </c>
    </row>
    <row r="381" spans="1:8" ht="37.5">
      <c r="A381" s="423"/>
      <c r="B381" s="436" t="s">
        <v>491</v>
      </c>
      <c r="C381" s="194" t="s">
        <v>123</v>
      </c>
      <c r="D381" s="195" t="s">
        <v>98</v>
      </c>
      <c r="E381" s="195" t="s">
        <v>96</v>
      </c>
      <c r="F381" s="196" t="s">
        <v>97</v>
      </c>
      <c r="G381" s="451"/>
      <c r="H381" s="437">
        <f>H382+H385</f>
        <v>17441.2</v>
      </c>
    </row>
    <row r="382" spans="1:8" ht="37.5">
      <c r="A382" s="423"/>
      <c r="B382" s="436" t="s">
        <v>157</v>
      </c>
      <c r="C382" s="194" t="s">
        <v>123</v>
      </c>
      <c r="D382" s="195" t="s">
        <v>98</v>
      </c>
      <c r="E382" s="195" t="s">
        <v>90</v>
      </c>
      <c r="F382" s="196" t="s">
        <v>97</v>
      </c>
      <c r="G382" s="451"/>
      <c r="H382" s="437">
        <f>H383</f>
        <v>17261</v>
      </c>
    </row>
    <row r="383" spans="1:8" ht="160.5" customHeight="1">
      <c r="A383" s="423"/>
      <c r="B383" s="397" t="s">
        <v>587</v>
      </c>
      <c r="C383" s="194" t="s">
        <v>123</v>
      </c>
      <c r="D383" s="195" t="s">
        <v>98</v>
      </c>
      <c r="E383" s="195" t="s">
        <v>90</v>
      </c>
      <c r="F383" s="196" t="s">
        <v>158</v>
      </c>
      <c r="G383" s="197"/>
      <c r="H383" s="437">
        <f>H384</f>
        <v>17261</v>
      </c>
    </row>
    <row r="384" spans="1:8" ht="18.75">
      <c r="A384" s="423"/>
      <c r="B384" s="436" t="s">
        <v>110</v>
      </c>
      <c r="C384" s="194" t="s">
        <v>123</v>
      </c>
      <c r="D384" s="195" t="s">
        <v>98</v>
      </c>
      <c r="E384" s="195" t="s">
        <v>90</v>
      </c>
      <c r="F384" s="196" t="s">
        <v>158</v>
      </c>
      <c r="G384" s="197" t="s">
        <v>111</v>
      </c>
      <c r="H384" s="437">
        <f>'прил12(ведом 19)'!M120</f>
        <v>17261</v>
      </c>
    </row>
    <row r="385" spans="1:8" ht="56.25">
      <c r="A385" s="423"/>
      <c r="B385" s="436" t="s">
        <v>159</v>
      </c>
      <c r="C385" s="194" t="s">
        <v>123</v>
      </c>
      <c r="D385" s="195" t="s">
        <v>98</v>
      </c>
      <c r="E385" s="195" t="s">
        <v>92</v>
      </c>
      <c r="F385" s="196" t="s">
        <v>97</v>
      </c>
      <c r="G385" s="197"/>
      <c r="H385" s="437">
        <f>H386</f>
        <v>180.2</v>
      </c>
    </row>
    <row r="386" spans="1:8" ht="18.75">
      <c r="A386" s="423"/>
      <c r="B386" s="397" t="s">
        <v>602</v>
      </c>
      <c r="C386" s="194" t="s">
        <v>123</v>
      </c>
      <c r="D386" s="195" t="s">
        <v>98</v>
      </c>
      <c r="E386" s="195" t="s">
        <v>92</v>
      </c>
      <c r="F386" s="196" t="s">
        <v>160</v>
      </c>
      <c r="G386" s="197"/>
      <c r="H386" s="437">
        <f>H387</f>
        <v>180.2</v>
      </c>
    </row>
    <row r="387" spans="1:8" ht="37.5">
      <c r="A387" s="423"/>
      <c r="B387" s="436" t="s">
        <v>108</v>
      </c>
      <c r="C387" s="194" t="s">
        <v>123</v>
      </c>
      <c r="D387" s="195" t="s">
        <v>98</v>
      </c>
      <c r="E387" s="195" t="s">
        <v>92</v>
      </c>
      <c r="F387" s="196" t="s">
        <v>160</v>
      </c>
      <c r="G387" s="197" t="s">
        <v>109</v>
      </c>
      <c r="H387" s="437">
        <f>'прил12(ведом 19)'!M123</f>
        <v>180.2</v>
      </c>
    </row>
    <row r="388" spans="1:8" ht="18.75">
      <c r="A388" s="423"/>
      <c r="B388" s="440"/>
      <c r="C388" s="553"/>
      <c r="D388" s="553"/>
      <c r="E388" s="553"/>
      <c r="F388" s="554"/>
      <c r="G388" s="422"/>
      <c r="H388" s="437"/>
    </row>
    <row r="389" spans="1:8" s="435" customFormat="1" ht="56.25">
      <c r="A389" s="441">
        <v>11</v>
      </c>
      <c r="B389" s="455" t="s">
        <v>162</v>
      </c>
      <c r="C389" s="442" t="s">
        <v>163</v>
      </c>
      <c r="D389" s="442" t="s">
        <v>95</v>
      </c>
      <c r="E389" s="442" t="s">
        <v>96</v>
      </c>
      <c r="F389" s="443" t="s">
        <v>97</v>
      </c>
      <c r="G389" s="433"/>
      <c r="H389" s="434">
        <f>H390</f>
        <v>5673.0294000000004</v>
      </c>
    </row>
    <row r="390" spans="1:8" s="435" customFormat="1" ht="37.5">
      <c r="A390" s="423"/>
      <c r="B390" s="436" t="s">
        <v>491</v>
      </c>
      <c r="C390" s="194" t="s">
        <v>163</v>
      </c>
      <c r="D390" s="195" t="s">
        <v>98</v>
      </c>
      <c r="E390" s="195" t="s">
        <v>96</v>
      </c>
      <c r="F390" s="196" t="s">
        <v>97</v>
      </c>
      <c r="G390" s="197"/>
      <c r="H390" s="437">
        <f>H391</f>
        <v>5673.0294000000004</v>
      </c>
    </row>
    <row r="391" spans="1:8" s="435" customFormat="1" ht="75">
      <c r="A391" s="423"/>
      <c r="B391" s="436" t="s">
        <v>164</v>
      </c>
      <c r="C391" s="194" t="s">
        <v>163</v>
      </c>
      <c r="D391" s="195" t="s">
        <v>98</v>
      </c>
      <c r="E391" s="195" t="s">
        <v>90</v>
      </c>
      <c r="F391" s="196" t="s">
        <v>97</v>
      </c>
      <c r="G391" s="197"/>
      <c r="H391" s="437">
        <f>H392+H394</f>
        <v>5673.0294000000004</v>
      </c>
    </row>
    <row r="392" spans="1:8" s="435" customFormat="1" ht="75">
      <c r="A392" s="423"/>
      <c r="B392" s="444" t="s">
        <v>165</v>
      </c>
      <c r="C392" s="194" t="s">
        <v>163</v>
      </c>
      <c r="D392" s="195" t="s">
        <v>98</v>
      </c>
      <c r="E392" s="195" t="s">
        <v>90</v>
      </c>
      <c r="F392" s="196" t="s">
        <v>166</v>
      </c>
      <c r="G392" s="197"/>
      <c r="H392" s="437">
        <f>H393</f>
        <v>4419.3294000000005</v>
      </c>
    </row>
    <row r="393" spans="1:8" ht="37.5">
      <c r="A393" s="423"/>
      <c r="B393" s="436" t="s">
        <v>108</v>
      </c>
      <c r="C393" s="194" t="s">
        <v>163</v>
      </c>
      <c r="D393" s="195" t="s">
        <v>98</v>
      </c>
      <c r="E393" s="195" t="s">
        <v>90</v>
      </c>
      <c r="F393" s="196" t="s">
        <v>166</v>
      </c>
      <c r="G393" s="197" t="s">
        <v>109</v>
      </c>
      <c r="H393" s="437">
        <f>'прил12(ведом 19)'!M129</f>
        <v>4419.3294000000005</v>
      </c>
    </row>
    <row r="394" spans="1:8" ht="75">
      <c r="A394" s="423"/>
      <c r="B394" s="436" t="s">
        <v>867</v>
      </c>
      <c r="C394" s="195" t="s">
        <v>163</v>
      </c>
      <c r="D394" s="195" t="s">
        <v>98</v>
      </c>
      <c r="E394" s="195" t="s">
        <v>90</v>
      </c>
      <c r="F394" s="196" t="s">
        <v>866</v>
      </c>
      <c r="G394" s="197"/>
      <c r="H394" s="437">
        <f>H395</f>
        <v>1253.7</v>
      </c>
    </row>
    <row r="395" spans="1:8" ht="37.5">
      <c r="A395" s="423"/>
      <c r="B395" s="436" t="s">
        <v>108</v>
      </c>
      <c r="C395" s="195" t="s">
        <v>163</v>
      </c>
      <c r="D395" s="195" t="s">
        <v>98</v>
      </c>
      <c r="E395" s="195" t="s">
        <v>90</v>
      </c>
      <c r="F395" s="196" t="s">
        <v>866</v>
      </c>
      <c r="G395" s="197" t="s">
        <v>109</v>
      </c>
      <c r="H395" s="437">
        <f>'прил12(ведом 19)'!M131</f>
        <v>1253.7</v>
      </c>
    </row>
    <row r="396" spans="1:8" ht="18.75">
      <c r="A396" s="423"/>
      <c r="B396" s="440"/>
      <c r="C396" s="553"/>
      <c r="D396" s="553"/>
      <c r="E396" s="553"/>
      <c r="F396" s="554"/>
      <c r="G396" s="422"/>
      <c r="H396" s="437"/>
    </row>
    <row r="397" spans="1:8" s="435" customFormat="1" ht="59.25" customHeight="1">
      <c r="A397" s="441">
        <v>12</v>
      </c>
      <c r="B397" s="455" t="s">
        <v>170</v>
      </c>
      <c r="C397" s="442" t="s">
        <v>130</v>
      </c>
      <c r="D397" s="442" t="s">
        <v>95</v>
      </c>
      <c r="E397" s="442" t="s">
        <v>96</v>
      </c>
      <c r="F397" s="443" t="s">
        <v>97</v>
      </c>
      <c r="G397" s="433"/>
      <c r="H397" s="434">
        <f>H398+H402</f>
        <v>1157.8</v>
      </c>
    </row>
    <row r="398" spans="1:8" s="435" customFormat="1" ht="37.5">
      <c r="A398" s="423"/>
      <c r="B398" s="458" t="s">
        <v>171</v>
      </c>
      <c r="C398" s="194" t="s">
        <v>130</v>
      </c>
      <c r="D398" s="195" t="s">
        <v>98</v>
      </c>
      <c r="E398" s="195" t="s">
        <v>96</v>
      </c>
      <c r="F398" s="196" t="s">
        <v>97</v>
      </c>
      <c r="G398" s="197"/>
      <c r="H398" s="437">
        <f>H399</f>
        <v>184.7</v>
      </c>
    </row>
    <row r="399" spans="1:8" s="435" customFormat="1" ht="37.5">
      <c r="A399" s="423"/>
      <c r="B399" s="436" t="s">
        <v>172</v>
      </c>
      <c r="C399" s="194" t="s">
        <v>130</v>
      </c>
      <c r="D399" s="195" t="s">
        <v>98</v>
      </c>
      <c r="E399" s="195" t="s">
        <v>90</v>
      </c>
      <c r="F399" s="196" t="s">
        <v>97</v>
      </c>
      <c r="G399" s="197"/>
      <c r="H399" s="437">
        <f>H400</f>
        <v>184.7</v>
      </c>
    </row>
    <row r="400" spans="1:8" s="435" customFormat="1" ht="37.5">
      <c r="A400" s="423"/>
      <c r="B400" s="458" t="s">
        <v>173</v>
      </c>
      <c r="C400" s="194" t="s">
        <v>130</v>
      </c>
      <c r="D400" s="195" t="s">
        <v>98</v>
      </c>
      <c r="E400" s="195" t="s">
        <v>90</v>
      </c>
      <c r="F400" s="196" t="s">
        <v>174</v>
      </c>
      <c r="G400" s="197"/>
      <c r="H400" s="437">
        <f>SUM(H401:H401)</f>
        <v>184.7</v>
      </c>
    </row>
    <row r="401" spans="1:8" s="435" customFormat="1" ht="37.5">
      <c r="A401" s="423"/>
      <c r="B401" s="436" t="s">
        <v>108</v>
      </c>
      <c r="C401" s="194" t="s">
        <v>130</v>
      </c>
      <c r="D401" s="195" t="s">
        <v>98</v>
      </c>
      <c r="E401" s="195" t="s">
        <v>90</v>
      </c>
      <c r="F401" s="196" t="s">
        <v>174</v>
      </c>
      <c r="G401" s="197" t="s">
        <v>109</v>
      </c>
      <c r="H401" s="437">
        <f>'прил12(ведом 19)'!M137</f>
        <v>184.7</v>
      </c>
    </row>
    <row r="402" spans="1:8" s="435" customFormat="1" ht="37.5">
      <c r="A402" s="423"/>
      <c r="B402" s="458" t="s">
        <v>175</v>
      </c>
      <c r="C402" s="194" t="s">
        <v>130</v>
      </c>
      <c r="D402" s="195" t="s">
        <v>150</v>
      </c>
      <c r="E402" s="195" t="s">
        <v>96</v>
      </c>
      <c r="F402" s="196" t="s">
        <v>97</v>
      </c>
      <c r="G402" s="197"/>
      <c r="H402" s="437">
        <f>H403</f>
        <v>973.1</v>
      </c>
    </row>
    <row r="403" spans="1:8" s="435" customFormat="1" ht="37.5">
      <c r="A403" s="423"/>
      <c r="B403" s="458" t="s">
        <v>176</v>
      </c>
      <c r="C403" s="194" t="s">
        <v>130</v>
      </c>
      <c r="D403" s="195" t="s">
        <v>150</v>
      </c>
      <c r="E403" s="195" t="s">
        <v>90</v>
      </c>
      <c r="F403" s="196" t="s">
        <v>97</v>
      </c>
      <c r="G403" s="197"/>
      <c r="H403" s="437">
        <f>H404</f>
        <v>973.1</v>
      </c>
    </row>
    <row r="404" spans="1:8" s="435" customFormat="1" ht="75">
      <c r="A404" s="423"/>
      <c r="B404" s="458" t="s">
        <v>177</v>
      </c>
      <c r="C404" s="194" t="s">
        <v>130</v>
      </c>
      <c r="D404" s="195" t="s">
        <v>150</v>
      </c>
      <c r="E404" s="195" t="s">
        <v>90</v>
      </c>
      <c r="F404" s="196" t="s">
        <v>178</v>
      </c>
      <c r="G404" s="197"/>
      <c r="H404" s="437">
        <f>H405</f>
        <v>973.1</v>
      </c>
    </row>
    <row r="405" spans="1:8" ht="37.5">
      <c r="A405" s="423"/>
      <c r="B405" s="436" t="s">
        <v>108</v>
      </c>
      <c r="C405" s="194" t="s">
        <v>130</v>
      </c>
      <c r="D405" s="195" t="s">
        <v>150</v>
      </c>
      <c r="E405" s="195" t="s">
        <v>90</v>
      </c>
      <c r="F405" s="196" t="s">
        <v>178</v>
      </c>
      <c r="G405" s="197" t="s">
        <v>109</v>
      </c>
      <c r="H405" s="437">
        <f>'прил12(ведом 19)'!M141</f>
        <v>973.1</v>
      </c>
    </row>
    <row r="406" spans="1:8" ht="18.75">
      <c r="A406" s="423"/>
      <c r="B406" s="440"/>
      <c r="C406" s="553"/>
      <c r="D406" s="553"/>
      <c r="E406" s="553"/>
      <c r="F406" s="554"/>
      <c r="G406" s="422"/>
      <c r="H406" s="437"/>
    </row>
    <row r="407" spans="1:8" s="435" customFormat="1" ht="60" customHeight="1">
      <c r="A407" s="441">
        <v>13</v>
      </c>
      <c r="B407" s="455" t="s">
        <v>179</v>
      </c>
      <c r="C407" s="442" t="s">
        <v>149</v>
      </c>
      <c r="D407" s="442" t="s">
        <v>95</v>
      </c>
      <c r="E407" s="442" t="s">
        <v>96</v>
      </c>
      <c r="F407" s="443" t="s">
        <v>97</v>
      </c>
      <c r="G407" s="433"/>
      <c r="H407" s="434">
        <f>H408</f>
        <v>1386.9</v>
      </c>
    </row>
    <row r="408" spans="1:8" s="435" customFormat="1" ht="37.5">
      <c r="A408" s="423"/>
      <c r="B408" s="436" t="s">
        <v>491</v>
      </c>
      <c r="C408" s="194" t="s">
        <v>149</v>
      </c>
      <c r="D408" s="195" t="s">
        <v>98</v>
      </c>
      <c r="E408" s="195" t="s">
        <v>96</v>
      </c>
      <c r="F408" s="196" t="s">
        <v>97</v>
      </c>
      <c r="G408" s="197"/>
      <c r="H408" s="437">
        <f>H409</f>
        <v>1386.9</v>
      </c>
    </row>
    <row r="409" spans="1:8" s="435" customFormat="1" ht="56.25">
      <c r="A409" s="423"/>
      <c r="B409" s="458" t="s">
        <v>431</v>
      </c>
      <c r="C409" s="194" t="s">
        <v>149</v>
      </c>
      <c r="D409" s="195" t="s">
        <v>98</v>
      </c>
      <c r="E409" s="195" t="s">
        <v>90</v>
      </c>
      <c r="F409" s="196" t="s">
        <v>97</v>
      </c>
      <c r="G409" s="197"/>
      <c r="H409" s="437">
        <f>H410+H412</f>
        <v>1386.9</v>
      </c>
    </row>
    <row r="410" spans="1:8" s="435" customFormat="1" ht="56.25">
      <c r="A410" s="423"/>
      <c r="B410" s="458" t="s">
        <v>180</v>
      </c>
      <c r="C410" s="194" t="s">
        <v>149</v>
      </c>
      <c r="D410" s="195" t="s">
        <v>98</v>
      </c>
      <c r="E410" s="195" t="s">
        <v>90</v>
      </c>
      <c r="F410" s="196" t="s">
        <v>181</v>
      </c>
      <c r="G410" s="197"/>
      <c r="H410" s="437">
        <f>H411</f>
        <v>607.9</v>
      </c>
    </row>
    <row r="411" spans="1:8" ht="37.5">
      <c r="A411" s="423"/>
      <c r="B411" s="436" t="s">
        <v>108</v>
      </c>
      <c r="C411" s="194" t="s">
        <v>149</v>
      </c>
      <c r="D411" s="195" t="s">
        <v>98</v>
      </c>
      <c r="E411" s="195" t="s">
        <v>90</v>
      </c>
      <c r="F411" s="196" t="s">
        <v>181</v>
      </c>
      <c r="G411" s="197" t="s">
        <v>109</v>
      </c>
      <c r="H411" s="437">
        <f>'прил12(ведом 19)'!M146+'прил12(ведом 19)'!M556</f>
        <v>607.9</v>
      </c>
    </row>
    <row r="412" spans="1:8" ht="56.25">
      <c r="A412" s="423"/>
      <c r="B412" s="397" t="s">
        <v>644</v>
      </c>
      <c r="C412" s="194" t="s">
        <v>149</v>
      </c>
      <c r="D412" s="195" t="s">
        <v>98</v>
      </c>
      <c r="E412" s="195" t="s">
        <v>90</v>
      </c>
      <c r="F412" s="196" t="s">
        <v>643</v>
      </c>
      <c r="G412" s="197"/>
      <c r="H412" s="437">
        <f>H413</f>
        <v>779</v>
      </c>
    </row>
    <row r="413" spans="1:8" ht="37.5">
      <c r="A413" s="423"/>
      <c r="B413" s="397" t="s">
        <v>108</v>
      </c>
      <c r="C413" s="194" t="s">
        <v>149</v>
      </c>
      <c r="D413" s="195" t="s">
        <v>98</v>
      </c>
      <c r="E413" s="195" t="s">
        <v>90</v>
      </c>
      <c r="F413" s="196" t="s">
        <v>643</v>
      </c>
      <c r="G413" s="197" t="s">
        <v>109</v>
      </c>
      <c r="H413" s="437">
        <f>'прил12(ведом 19)'!M148</f>
        <v>779</v>
      </c>
    </row>
    <row r="414" spans="1:8" s="435" customFormat="1" ht="18.75">
      <c r="A414" s="423"/>
      <c r="B414" s="438"/>
      <c r="C414" s="553"/>
      <c r="D414" s="553"/>
      <c r="E414" s="553"/>
      <c r="F414" s="554"/>
      <c r="G414" s="422"/>
      <c r="H414" s="437"/>
    </row>
    <row r="415" spans="1:8" s="435" customFormat="1" ht="75">
      <c r="A415" s="441">
        <v>14</v>
      </c>
      <c r="B415" s="455" t="s">
        <v>131</v>
      </c>
      <c r="C415" s="442" t="s">
        <v>132</v>
      </c>
      <c r="D415" s="442" t="s">
        <v>95</v>
      </c>
      <c r="E415" s="442" t="s">
        <v>96</v>
      </c>
      <c r="F415" s="443" t="s">
        <v>97</v>
      </c>
      <c r="G415" s="433"/>
      <c r="H415" s="434">
        <f>H416</f>
        <v>976.40000000000009</v>
      </c>
    </row>
    <row r="416" spans="1:8" ht="37.5">
      <c r="A416" s="423"/>
      <c r="B416" s="436" t="s">
        <v>491</v>
      </c>
      <c r="C416" s="194" t="s">
        <v>132</v>
      </c>
      <c r="D416" s="195" t="s">
        <v>98</v>
      </c>
      <c r="E416" s="195" t="s">
        <v>96</v>
      </c>
      <c r="F416" s="196" t="s">
        <v>97</v>
      </c>
      <c r="G416" s="197"/>
      <c r="H416" s="437">
        <f>H417</f>
        <v>976.40000000000009</v>
      </c>
    </row>
    <row r="417" spans="1:8" ht="37.5">
      <c r="A417" s="423"/>
      <c r="B417" s="445" t="s">
        <v>371</v>
      </c>
      <c r="C417" s="194" t="s">
        <v>132</v>
      </c>
      <c r="D417" s="195" t="s">
        <v>98</v>
      </c>
      <c r="E417" s="195" t="s">
        <v>90</v>
      </c>
      <c r="F417" s="196" t="s">
        <v>97</v>
      </c>
      <c r="G417" s="197"/>
      <c r="H417" s="437">
        <f>H418</f>
        <v>976.40000000000009</v>
      </c>
    </row>
    <row r="418" spans="1:8" ht="37.5">
      <c r="A418" s="423"/>
      <c r="B418" s="445" t="s">
        <v>133</v>
      </c>
      <c r="C418" s="194" t="s">
        <v>132</v>
      </c>
      <c r="D418" s="195" t="s">
        <v>98</v>
      </c>
      <c r="E418" s="195" t="s">
        <v>90</v>
      </c>
      <c r="F418" s="196" t="s">
        <v>134</v>
      </c>
      <c r="G418" s="197"/>
      <c r="H418" s="437">
        <f>H419</f>
        <v>976.40000000000009</v>
      </c>
    </row>
    <row r="419" spans="1:8" ht="56.25">
      <c r="A419" s="423"/>
      <c r="B419" s="438" t="s">
        <v>135</v>
      </c>
      <c r="C419" s="194" t="s">
        <v>132</v>
      </c>
      <c r="D419" s="195" t="s">
        <v>98</v>
      </c>
      <c r="E419" s="195" t="s">
        <v>90</v>
      </c>
      <c r="F419" s="196" t="s">
        <v>134</v>
      </c>
      <c r="G419" s="197" t="s">
        <v>136</v>
      </c>
      <c r="H419" s="437">
        <f>'прил12(ведом 19)'!M61+'прил12(ведом 19)'!M190</f>
        <v>976.40000000000009</v>
      </c>
    </row>
    <row r="420" spans="1:8" ht="18.75">
      <c r="A420" s="423"/>
      <c r="B420" s="438"/>
      <c r="C420" s="553"/>
      <c r="D420" s="553"/>
      <c r="E420" s="553"/>
      <c r="F420" s="554"/>
      <c r="G420" s="422"/>
      <c r="H420" s="437"/>
    </row>
    <row r="421" spans="1:8" s="435" customFormat="1" ht="56.25">
      <c r="A421" s="441">
        <v>15</v>
      </c>
      <c r="B421" s="455" t="s">
        <v>93</v>
      </c>
      <c r="C421" s="442" t="s">
        <v>94</v>
      </c>
      <c r="D421" s="442" t="s">
        <v>95</v>
      </c>
      <c r="E421" s="442" t="s">
        <v>96</v>
      </c>
      <c r="F421" s="443" t="s">
        <v>97</v>
      </c>
      <c r="G421" s="433"/>
      <c r="H421" s="434">
        <f>H422</f>
        <v>82697.702389999977</v>
      </c>
    </row>
    <row r="422" spans="1:8" s="435" customFormat="1" ht="27" customHeight="1">
      <c r="A422" s="423"/>
      <c r="B422" s="436" t="s">
        <v>491</v>
      </c>
      <c r="C422" s="194" t="s">
        <v>94</v>
      </c>
      <c r="D422" s="195" t="s">
        <v>98</v>
      </c>
      <c r="E422" s="195" t="s">
        <v>96</v>
      </c>
      <c r="F422" s="196" t="s">
        <v>97</v>
      </c>
      <c r="G422" s="197"/>
      <c r="H422" s="437">
        <f>H423+H426+H446+H451+H456+H464+H461</f>
        <v>82697.702389999977</v>
      </c>
    </row>
    <row r="423" spans="1:8" s="435" customFormat="1" ht="37.5">
      <c r="A423" s="423"/>
      <c r="B423" s="436" t="s">
        <v>99</v>
      </c>
      <c r="C423" s="194" t="s">
        <v>94</v>
      </c>
      <c r="D423" s="195" t="s">
        <v>98</v>
      </c>
      <c r="E423" s="195" t="s">
        <v>90</v>
      </c>
      <c r="F423" s="196" t="s">
        <v>97</v>
      </c>
      <c r="G423" s="197"/>
      <c r="H423" s="437">
        <f>H424</f>
        <v>1971.5</v>
      </c>
    </row>
    <row r="424" spans="1:8" s="435" customFormat="1" ht="37.5">
      <c r="A424" s="423"/>
      <c r="B424" s="436" t="s">
        <v>100</v>
      </c>
      <c r="C424" s="194" t="s">
        <v>94</v>
      </c>
      <c r="D424" s="195" t="s">
        <v>98</v>
      </c>
      <c r="E424" s="195" t="s">
        <v>90</v>
      </c>
      <c r="F424" s="196" t="s">
        <v>101</v>
      </c>
      <c r="G424" s="197"/>
      <c r="H424" s="437">
        <f>H425</f>
        <v>1971.5</v>
      </c>
    </row>
    <row r="425" spans="1:8" s="435" customFormat="1" ht="93.75">
      <c r="A425" s="423"/>
      <c r="B425" s="436" t="s">
        <v>102</v>
      </c>
      <c r="C425" s="194" t="s">
        <v>94</v>
      </c>
      <c r="D425" s="195" t="s">
        <v>98</v>
      </c>
      <c r="E425" s="195" t="s">
        <v>90</v>
      </c>
      <c r="F425" s="196" t="s">
        <v>101</v>
      </c>
      <c r="G425" s="197" t="s">
        <v>103</v>
      </c>
      <c r="H425" s="437">
        <f>'прил12(ведом 19)'!M21</f>
        <v>1971.5</v>
      </c>
    </row>
    <row r="426" spans="1:8" s="435" customFormat="1" ht="37.5">
      <c r="A426" s="423"/>
      <c r="B426" s="436" t="s">
        <v>107</v>
      </c>
      <c r="C426" s="194" t="s">
        <v>94</v>
      </c>
      <c r="D426" s="195" t="s">
        <v>98</v>
      </c>
      <c r="E426" s="195" t="s">
        <v>92</v>
      </c>
      <c r="F426" s="196" t="s">
        <v>97</v>
      </c>
      <c r="G426" s="197"/>
      <c r="H426" s="437">
        <f>H427+H435+H437+H439+H442+H444+H433+H431</f>
        <v>66168.302389999983</v>
      </c>
    </row>
    <row r="427" spans="1:8" s="435" customFormat="1" ht="37.5">
      <c r="A427" s="423"/>
      <c r="B427" s="436" t="s">
        <v>100</v>
      </c>
      <c r="C427" s="194" t="s">
        <v>94</v>
      </c>
      <c r="D427" s="195" t="s">
        <v>98</v>
      </c>
      <c r="E427" s="195" t="s">
        <v>92</v>
      </c>
      <c r="F427" s="196" t="s">
        <v>101</v>
      </c>
      <c r="G427" s="197"/>
      <c r="H427" s="437">
        <f>SUM(H428:H430)</f>
        <v>62188.902390000003</v>
      </c>
    </row>
    <row r="428" spans="1:8" s="435" customFormat="1" ht="93.75">
      <c r="A428" s="423"/>
      <c r="B428" s="436" t="s">
        <v>102</v>
      </c>
      <c r="C428" s="194" t="s">
        <v>94</v>
      </c>
      <c r="D428" s="195" t="s">
        <v>98</v>
      </c>
      <c r="E428" s="195" t="s">
        <v>92</v>
      </c>
      <c r="F428" s="196" t="s">
        <v>101</v>
      </c>
      <c r="G428" s="197" t="s">
        <v>103</v>
      </c>
      <c r="H428" s="437">
        <f>'прил12(ведом 19)'!M27</f>
        <v>55633.3</v>
      </c>
    </row>
    <row r="429" spans="1:8" ht="37.5">
      <c r="A429" s="423"/>
      <c r="B429" s="436" t="s">
        <v>108</v>
      </c>
      <c r="C429" s="194" t="s">
        <v>94</v>
      </c>
      <c r="D429" s="195" t="s">
        <v>98</v>
      </c>
      <c r="E429" s="195" t="s">
        <v>92</v>
      </c>
      <c r="F429" s="196" t="s">
        <v>101</v>
      </c>
      <c r="G429" s="197" t="s">
        <v>109</v>
      </c>
      <c r="H429" s="437">
        <f>'прил12(ведом 19)'!M28</f>
        <v>6100.0023899999997</v>
      </c>
    </row>
    <row r="430" spans="1:8" s="435" customFormat="1" ht="18.75">
      <c r="A430" s="423"/>
      <c r="B430" s="436" t="s">
        <v>110</v>
      </c>
      <c r="C430" s="194" t="s">
        <v>94</v>
      </c>
      <c r="D430" s="195" t="s">
        <v>98</v>
      </c>
      <c r="E430" s="195" t="s">
        <v>92</v>
      </c>
      <c r="F430" s="196" t="s">
        <v>101</v>
      </c>
      <c r="G430" s="197" t="s">
        <v>111</v>
      </c>
      <c r="H430" s="437">
        <f>'прил12(ведом 19)'!M29</f>
        <v>455.6</v>
      </c>
    </row>
    <row r="431" spans="1:8" s="435" customFormat="1" ht="18.75">
      <c r="A431" s="423"/>
      <c r="B431" s="397" t="s">
        <v>819</v>
      </c>
      <c r="C431" s="194" t="s">
        <v>94</v>
      </c>
      <c r="D431" s="195" t="s">
        <v>98</v>
      </c>
      <c r="E431" s="195" t="s">
        <v>92</v>
      </c>
      <c r="F431" s="196" t="s">
        <v>818</v>
      </c>
      <c r="G431" s="197"/>
      <c r="H431" s="437">
        <f>H432</f>
        <v>103.9</v>
      </c>
    </row>
    <row r="432" spans="1:8" s="435" customFormat="1" ht="37.5">
      <c r="A432" s="423"/>
      <c r="B432" s="436" t="s">
        <v>108</v>
      </c>
      <c r="C432" s="194" t="s">
        <v>94</v>
      </c>
      <c r="D432" s="195" t="s">
        <v>98</v>
      </c>
      <c r="E432" s="195" t="s">
        <v>92</v>
      </c>
      <c r="F432" s="196" t="s">
        <v>818</v>
      </c>
      <c r="G432" s="197" t="s">
        <v>109</v>
      </c>
      <c r="H432" s="437">
        <f>'прил12(ведом 19)'!M66</f>
        <v>103.9</v>
      </c>
    </row>
    <row r="433" spans="1:8" s="435" customFormat="1" ht="75">
      <c r="A433" s="423"/>
      <c r="B433" s="397" t="s">
        <v>636</v>
      </c>
      <c r="C433" s="194" t="s">
        <v>94</v>
      </c>
      <c r="D433" s="195" t="s">
        <v>98</v>
      </c>
      <c r="E433" s="195" t="s">
        <v>92</v>
      </c>
      <c r="F433" s="196" t="s">
        <v>635</v>
      </c>
      <c r="G433" s="197"/>
      <c r="H433" s="437">
        <f>H434</f>
        <v>10.4</v>
      </c>
    </row>
    <row r="434" spans="1:8" s="435" customFormat="1" ht="37.5">
      <c r="A434" s="423"/>
      <c r="B434" s="397" t="s">
        <v>108</v>
      </c>
      <c r="C434" s="194" t="s">
        <v>94</v>
      </c>
      <c r="D434" s="195" t="s">
        <v>98</v>
      </c>
      <c r="E434" s="195" t="s">
        <v>92</v>
      </c>
      <c r="F434" s="196" t="s">
        <v>635</v>
      </c>
      <c r="G434" s="197" t="s">
        <v>109</v>
      </c>
      <c r="H434" s="437">
        <f>'прил12(ведом 19)'!M49</f>
        <v>10.4</v>
      </c>
    </row>
    <row r="435" spans="1:8" ht="93.75">
      <c r="A435" s="423"/>
      <c r="B435" s="436" t="s">
        <v>117</v>
      </c>
      <c r="C435" s="194" t="s">
        <v>94</v>
      </c>
      <c r="D435" s="195" t="s">
        <v>98</v>
      </c>
      <c r="E435" s="195" t="s">
        <v>92</v>
      </c>
      <c r="F435" s="196" t="s">
        <v>370</v>
      </c>
      <c r="G435" s="197"/>
      <c r="H435" s="437">
        <f>H436</f>
        <v>66</v>
      </c>
    </row>
    <row r="436" spans="1:8" ht="37.5">
      <c r="A436" s="423"/>
      <c r="B436" s="436" t="s">
        <v>108</v>
      </c>
      <c r="C436" s="194" t="s">
        <v>94</v>
      </c>
      <c r="D436" s="195" t="s">
        <v>98</v>
      </c>
      <c r="E436" s="195" t="s">
        <v>92</v>
      </c>
      <c r="F436" s="196" t="s">
        <v>370</v>
      </c>
      <c r="G436" s="197" t="s">
        <v>109</v>
      </c>
      <c r="H436" s="437">
        <f>'прил12(ведом 19)'!M31</f>
        <v>66</v>
      </c>
    </row>
    <row r="437" spans="1:8" ht="170.25" customHeight="1">
      <c r="A437" s="423"/>
      <c r="B437" s="397" t="s">
        <v>809</v>
      </c>
      <c r="C437" s="194" t="s">
        <v>94</v>
      </c>
      <c r="D437" s="195" t="s">
        <v>98</v>
      </c>
      <c r="E437" s="195" t="s">
        <v>92</v>
      </c>
      <c r="F437" s="196" t="s">
        <v>112</v>
      </c>
      <c r="G437" s="197"/>
      <c r="H437" s="437">
        <f>H438</f>
        <v>617.1</v>
      </c>
    </row>
    <row r="438" spans="1:8" ht="93.75">
      <c r="A438" s="423"/>
      <c r="B438" s="436" t="s">
        <v>102</v>
      </c>
      <c r="C438" s="194" t="s">
        <v>94</v>
      </c>
      <c r="D438" s="195" t="s">
        <v>98</v>
      </c>
      <c r="E438" s="195" t="s">
        <v>92</v>
      </c>
      <c r="F438" s="196" t="s">
        <v>112</v>
      </c>
      <c r="G438" s="197" t="s">
        <v>103</v>
      </c>
      <c r="H438" s="437">
        <f>'прил12(ведом 19)'!M33</f>
        <v>617.1</v>
      </c>
    </row>
    <row r="439" spans="1:8" ht="75">
      <c r="A439" s="423"/>
      <c r="B439" s="436" t="s">
        <v>113</v>
      </c>
      <c r="C439" s="194" t="s">
        <v>94</v>
      </c>
      <c r="D439" s="195" t="s">
        <v>98</v>
      </c>
      <c r="E439" s="195" t="s">
        <v>92</v>
      </c>
      <c r="F439" s="196" t="s">
        <v>114</v>
      </c>
      <c r="G439" s="197"/>
      <c r="H439" s="437">
        <f>SUM(H440:H441)</f>
        <v>2498.7000000000003</v>
      </c>
    </row>
    <row r="440" spans="1:8" ht="93.75">
      <c r="A440" s="423"/>
      <c r="B440" s="436" t="s">
        <v>102</v>
      </c>
      <c r="C440" s="194" t="s">
        <v>94</v>
      </c>
      <c r="D440" s="195" t="s">
        <v>98</v>
      </c>
      <c r="E440" s="195" t="s">
        <v>92</v>
      </c>
      <c r="F440" s="196" t="s">
        <v>114</v>
      </c>
      <c r="G440" s="197" t="s">
        <v>103</v>
      </c>
      <c r="H440" s="437">
        <f>'прил12(ведом 19)'!M35</f>
        <v>2399.8000000000002</v>
      </c>
    </row>
    <row r="441" spans="1:8" ht="37.5">
      <c r="A441" s="423"/>
      <c r="B441" s="397" t="s">
        <v>108</v>
      </c>
      <c r="C441" s="194" t="s">
        <v>94</v>
      </c>
      <c r="D441" s="195" t="s">
        <v>98</v>
      </c>
      <c r="E441" s="195" t="s">
        <v>92</v>
      </c>
      <c r="F441" s="196" t="s">
        <v>114</v>
      </c>
      <c r="G441" s="197" t="s">
        <v>109</v>
      </c>
      <c r="H441" s="437">
        <f>'прил12(ведом 19)'!M36</f>
        <v>98.9</v>
      </c>
    </row>
    <row r="442" spans="1:8" ht="56.25">
      <c r="A442" s="423"/>
      <c r="B442" s="436" t="s">
        <v>115</v>
      </c>
      <c r="C442" s="194" t="s">
        <v>94</v>
      </c>
      <c r="D442" s="195" t="s">
        <v>98</v>
      </c>
      <c r="E442" s="195" t="s">
        <v>92</v>
      </c>
      <c r="F442" s="196" t="s">
        <v>116</v>
      </c>
      <c r="G442" s="197"/>
      <c r="H442" s="437">
        <f>H443</f>
        <v>617.29999999999995</v>
      </c>
    </row>
    <row r="443" spans="1:8" ht="93.75">
      <c r="A443" s="423"/>
      <c r="B443" s="436" t="s">
        <v>102</v>
      </c>
      <c r="C443" s="194" t="s">
        <v>94</v>
      </c>
      <c r="D443" s="195" t="s">
        <v>98</v>
      </c>
      <c r="E443" s="195" t="s">
        <v>92</v>
      </c>
      <c r="F443" s="196" t="s">
        <v>116</v>
      </c>
      <c r="G443" s="197" t="s">
        <v>103</v>
      </c>
      <c r="H443" s="437">
        <f>'прил12(ведом 19)'!M38</f>
        <v>617.29999999999995</v>
      </c>
    </row>
    <row r="444" spans="1:8" ht="18.75">
      <c r="A444" s="423"/>
      <c r="B444" s="397" t="s">
        <v>584</v>
      </c>
      <c r="C444" s="194" t="s">
        <v>94</v>
      </c>
      <c r="D444" s="195" t="s">
        <v>98</v>
      </c>
      <c r="E444" s="195" t="s">
        <v>92</v>
      </c>
      <c r="F444" s="196" t="s">
        <v>583</v>
      </c>
      <c r="G444" s="197"/>
      <c r="H444" s="437">
        <f>H445</f>
        <v>66</v>
      </c>
    </row>
    <row r="445" spans="1:8" ht="37.5">
      <c r="A445" s="423"/>
      <c r="B445" s="397" t="s">
        <v>108</v>
      </c>
      <c r="C445" s="194" t="s">
        <v>94</v>
      </c>
      <c r="D445" s="195" t="s">
        <v>98</v>
      </c>
      <c r="E445" s="195" t="s">
        <v>92</v>
      </c>
      <c r="F445" s="196" t="s">
        <v>583</v>
      </c>
      <c r="G445" s="197" t="s">
        <v>109</v>
      </c>
      <c r="H445" s="437">
        <f>'прил12(ведом 19)'!M40</f>
        <v>66</v>
      </c>
    </row>
    <row r="446" spans="1:8" ht="18.75">
      <c r="A446" s="423"/>
      <c r="B446" s="436" t="s">
        <v>118</v>
      </c>
      <c r="C446" s="194" t="s">
        <v>94</v>
      </c>
      <c r="D446" s="195" t="s">
        <v>98</v>
      </c>
      <c r="E446" s="195" t="s">
        <v>119</v>
      </c>
      <c r="F446" s="196" t="s">
        <v>97</v>
      </c>
      <c r="G446" s="197"/>
      <c r="H446" s="437">
        <f>H447+H449</f>
        <v>974.80000000000007</v>
      </c>
    </row>
    <row r="447" spans="1:8" ht="37.5">
      <c r="A447" s="423"/>
      <c r="B447" s="436" t="s">
        <v>100</v>
      </c>
      <c r="C447" s="194" t="s">
        <v>94</v>
      </c>
      <c r="D447" s="195" t="s">
        <v>98</v>
      </c>
      <c r="E447" s="195" t="s">
        <v>119</v>
      </c>
      <c r="F447" s="196" t="s">
        <v>101</v>
      </c>
      <c r="G447" s="197"/>
      <c r="H447" s="437">
        <f>H448</f>
        <v>63.6</v>
      </c>
    </row>
    <row r="448" spans="1:8" ht="37.5">
      <c r="A448" s="423"/>
      <c r="B448" s="436" t="s">
        <v>108</v>
      </c>
      <c r="C448" s="194" t="s">
        <v>94</v>
      </c>
      <c r="D448" s="195" t="s">
        <v>98</v>
      </c>
      <c r="E448" s="195" t="s">
        <v>119</v>
      </c>
      <c r="F448" s="196" t="s">
        <v>101</v>
      </c>
      <c r="G448" s="197" t="s">
        <v>109</v>
      </c>
      <c r="H448" s="437">
        <f>'прил12(ведом 19)'!M43</f>
        <v>63.6</v>
      </c>
    </row>
    <row r="449" spans="1:8" ht="56.25">
      <c r="A449" s="423"/>
      <c r="B449" s="397" t="s">
        <v>616</v>
      </c>
      <c r="C449" s="194" t="s">
        <v>94</v>
      </c>
      <c r="D449" s="195" t="s">
        <v>98</v>
      </c>
      <c r="E449" s="195" t="s">
        <v>119</v>
      </c>
      <c r="F449" s="196" t="s">
        <v>615</v>
      </c>
      <c r="G449" s="197"/>
      <c r="H449" s="437">
        <f>H450</f>
        <v>911.2</v>
      </c>
    </row>
    <row r="450" spans="1:8" ht="37.5">
      <c r="A450" s="423"/>
      <c r="B450" s="397" t="s">
        <v>108</v>
      </c>
      <c r="C450" s="194" t="s">
        <v>94</v>
      </c>
      <c r="D450" s="195" t="s">
        <v>98</v>
      </c>
      <c r="E450" s="195" t="s">
        <v>119</v>
      </c>
      <c r="F450" s="196" t="s">
        <v>615</v>
      </c>
      <c r="G450" s="197" t="s">
        <v>109</v>
      </c>
      <c r="H450" s="437">
        <f>'прил12(ведом 19)'!M69</f>
        <v>911.2</v>
      </c>
    </row>
    <row r="451" spans="1:8" ht="18.75">
      <c r="A451" s="423"/>
      <c r="B451" s="436" t="s">
        <v>120</v>
      </c>
      <c r="C451" s="194" t="s">
        <v>94</v>
      </c>
      <c r="D451" s="195" t="s">
        <v>98</v>
      </c>
      <c r="E451" s="195" t="s">
        <v>105</v>
      </c>
      <c r="F451" s="196" t="s">
        <v>97</v>
      </c>
      <c r="G451" s="197"/>
      <c r="H451" s="437">
        <f>H452+H454</f>
        <v>2142.9</v>
      </c>
    </row>
    <row r="452" spans="1:8" ht="56.25">
      <c r="A452" s="423"/>
      <c r="B452" s="458" t="s">
        <v>522</v>
      </c>
      <c r="C452" s="194" t="s">
        <v>94</v>
      </c>
      <c r="D452" s="195" t="s">
        <v>98</v>
      </c>
      <c r="E452" s="195" t="s">
        <v>105</v>
      </c>
      <c r="F452" s="196" t="s">
        <v>168</v>
      </c>
      <c r="G452" s="197"/>
      <c r="H452" s="437">
        <f>H453</f>
        <v>185.3</v>
      </c>
    </row>
    <row r="453" spans="1:8" ht="37.5">
      <c r="A453" s="423"/>
      <c r="B453" s="436" t="s">
        <v>108</v>
      </c>
      <c r="C453" s="194" t="s">
        <v>94</v>
      </c>
      <c r="D453" s="195" t="s">
        <v>98</v>
      </c>
      <c r="E453" s="195" t="s">
        <v>105</v>
      </c>
      <c r="F453" s="196" t="s">
        <v>168</v>
      </c>
      <c r="G453" s="197" t="s">
        <v>109</v>
      </c>
      <c r="H453" s="437">
        <f>'прил12(ведом 19)'!M72</f>
        <v>185.3</v>
      </c>
    </row>
    <row r="454" spans="1:8" ht="56.25">
      <c r="A454" s="423"/>
      <c r="B454" s="436" t="s">
        <v>524</v>
      </c>
      <c r="C454" s="194" t="s">
        <v>94</v>
      </c>
      <c r="D454" s="195" t="s">
        <v>98</v>
      </c>
      <c r="E454" s="195" t="s">
        <v>105</v>
      </c>
      <c r="F454" s="196" t="s">
        <v>523</v>
      </c>
      <c r="G454" s="197"/>
      <c r="H454" s="437">
        <f>H455</f>
        <v>1957.6</v>
      </c>
    </row>
    <row r="455" spans="1:8" ht="37.5">
      <c r="A455" s="423"/>
      <c r="B455" s="436" t="s">
        <v>108</v>
      </c>
      <c r="C455" s="194" t="s">
        <v>94</v>
      </c>
      <c r="D455" s="195" t="s">
        <v>98</v>
      </c>
      <c r="E455" s="195" t="s">
        <v>105</v>
      </c>
      <c r="F455" s="196" t="s">
        <v>523</v>
      </c>
      <c r="G455" s="197" t="s">
        <v>109</v>
      </c>
      <c r="H455" s="437">
        <f>'прил12(ведом 19)'!M74</f>
        <v>1957.6</v>
      </c>
    </row>
    <row r="456" spans="1:8" ht="75">
      <c r="A456" s="460"/>
      <c r="B456" s="465" t="s">
        <v>420</v>
      </c>
      <c r="C456" s="448" t="s">
        <v>94</v>
      </c>
      <c r="D456" s="402" t="s">
        <v>98</v>
      </c>
      <c r="E456" s="402" t="s">
        <v>141</v>
      </c>
      <c r="F456" s="403" t="s">
        <v>97</v>
      </c>
      <c r="G456" s="404"/>
      <c r="H456" s="437">
        <f>H457</f>
        <v>5143.2</v>
      </c>
    </row>
    <row r="457" spans="1:8" ht="75">
      <c r="A457" s="460"/>
      <c r="B457" s="465" t="s">
        <v>151</v>
      </c>
      <c r="C457" s="448" t="s">
        <v>94</v>
      </c>
      <c r="D457" s="402" t="s">
        <v>98</v>
      </c>
      <c r="E457" s="402" t="s">
        <v>141</v>
      </c>
      <c r="F457" s="403" t="s">
        <v>153</v>
      </c>
      <c r="G457" s="404"/>
      <c r="H457" s="437">
        <f>SUM(H458:H460)</f>
        <v>5143.2</v>
      </c>
    </row>
    <row r="458" spans="1:8" ht="93.75">
      <c r="A458" s="460"/>
      <c r="B458" s="465" t="s">
        <v>102</v>
      </c>
      <c r="C458" s="448" t="s">
        <v>94</v>
      </c>
      <c r="D458" s="402" t="s">
        <v>98</v>
      </c>
      <c r="E458" s="402" t="s">
        <v>141</v>
      </c>
      <c r="F458" s="403" t="s">
        <v>153</v>
      </c>
      <c r="G458" s="404" t="s">
        <v>103</v>
      </c>
      <c r="H458" s="437">
        <f>'прил12(ведом 19)'!M298</f>
        <v>4547.4809999999998</v>
      </c>
    </row>
    <row r="459" spans="1:8" ht="37.5">
      <c r="A459" s="460"/>
      <c r="B459" s="436" t="s">
        <v>108</v>
      </c>
      <c r="C459" s="448" t="s">
        <v>94</v>
      </c>
      <c r="D459" s="402" t="s">
        <v>98</v>
      </c>
      <c r="E459" s="402" t="s">
        <v>141</v>
      </c>
      <c r="F459" s="403" t="s">
        <v>153</v>
      </c>
      <c r="G459" s="404" t="s">
        <v>109</v>
      </c>
      <c r="H459" s="437">
        <f>'прил12(ведом 19)'!M299</f>
        <v>595.61899999999991</v>
      </c>
    </row>
    <row r="460" spans="1:8" ht="18.75">
      <c r="A460" s="460"/>
      <c r="B460" s="400" t="s">
        <v>110</v>
      </c>
      <c r="C460" s="448" t="s">
        <v>94</v>
      </c>
      <c r="D460" s="402" t="s">
        <v>98</v>
      </c>
      <c r="E460" s="402" t="s">
        <v>141</v>
      </c>
      <c r="F460" s="403" t="s">
        <v>153</v>
      </c>
      <c r="G460" s="404" t="s">
        <v>111</v>
      </c>
      <c r="H460" s="437">
        <f>'прил12(ведом 19)'!M300</f>
        <v>0.1</v>
      </c>
    </row>
    <row r="461" spans="1:8" ht="56.25">
      <c r="A461" s="460"/>
      <c r="B461" s="492" t="s">
        <v>610</v>
      </c>
      <c r="C461" s="194" t="s">
        <v>94</v>
      </c>
      <c r="D461" s="195" t="s">
        <v>98</v>
      </c>
      <c r="E461" s="195" t="s">
        <v>139</v>
      </c>
      <c r="F461" s="196" t="s">
        <v>97</v>
      </c>
      <c r="G461" s="197"/>
      <c r="H461" s="437">
        <f>H462</f>
        <v>14.3</v>
      </c>
    </row>
    <row r="462" spans="1:8" ht="18.75">
      <c r="A462" s="460"/>
      <c r="B462" s="492" t="s">
        <v>611</v>
      </c>
      <c r="C462" s="194" t="s">
        <v>94</v>
      </c>
      <c r="D462" s="195" t="s">
        <v>98</v>
      </c>
      <c r="E462" s="195" t="s">
        <v>139</v>
      </c>
      <c r="F462" s="196" t="s">
        <v>612</v>
      </c>
      <c r="G462" s="197"/>
      <c r="H462" s="437">
        <f>H463</f>
        <v>14.3</v>
      </c>
    </row>
    <row r="463" spans="1:8" ht="37.5">
      <c r="A463" s="460"/>
      <c r="B463" s="492" t="s">
        <v>613</v>
      </c>
      <c r="C463" s="194" t="s">
        <v>94</v>
      </c>
      <c r="D463" s="195" t="s">
        <v>98</v>
      </c>
      <c r="E463" s="195" t="s">
        <v>139</v>
      </c>
      <c r="F463" s="196" t="s">
        <v>612</v>
      </c>
      <c r="G463" s="197" t="s">
        <v>614</v>
      </c>
      <c r="H463" s="437">
        <f>'прил12(ведом 19)'!M197</f>
        <v>14.3</v>
      </c>
    </row>
    <row r="464" spans="1:8" ht="37.5">
      <c r="A464" s="460"/>
      <c r="B464" s="397" t="s">
        <v>474</v>
      </c>
      <c r="C464" s="194" t="s">
        <v>94</v>
      </c>
      <c r="D464" s="195" t="s">
        <v>98</v>
      </c>
      <c r="E464" s="195" t="s">
        <v>149</v>
      </c>
      <c r="F464" s="196" t="s">
        <v>97</v>
      </c>
      <c r="G464" s="404"/>
      <c r="H464" s="437">
        <f>H471+H465+H469</f>
        <v>6282.7000000000007</v>
      </c>
    </row>
    <row r="465" spans="1:8" ht="75">
      <c r="A465" s="460"/>
      <c r="B465" s="491" t="s">
        <v>151</v>
      </c>
      <c r="C465" s="194" t="s">
        <v>94</v>
      </c>
      <c r="D465" s="195" t="s">
        <v>98</v>
      </c>
      <c r="E465" s="195" t="s">
        <v>149</v>
      </c>
      <c r="F465" s="196" t="s">
        <v>153</v>
      </c>
      <c r="G465" s="197"/>
      <c r="H465" s="437">
        <f>SUM(H466:H468)</f>
        <v>4507.1000000000004</v>
      </c>
    </row>
    <row r="466" spans="1:8" ht="93.75">
      <c r="A466" s="460"/>
      <c r="B466" s="397" t="s">
        <v>102</v>
      </c>
      <c r="C466" s="194" t="s">
        <v>94</v>
      </c>
      <c r="D466" s="195" t="s">
        <v>98</v>
      </c>
      <c r="E466" s="195" t="s">
        <v>149</v>
      </c>
      <c r="F466" s="196" t="s">
        <v>153</v>
      </c>
      <c r="G466" s="197" t="s">
        <v>103</v>
      </c>
      <c r="H466" s="437">
        <f>'прил12(ведом 19)'!M153</f>
        <v>4158.7</v>
      </c>
    </row>
    <row r="467" spans="1:8" ht="37.5">
      <c r="A467" s="460"/>
      <c r="B467" s="397" t="s">
        <v>108</v>
      </c>
      <c r="C467" s="194" t="s">
        <v>94</v>
      </c>
      <c r="D467" s="195" t="s">
        <v>98</v>
      </c>
      <c r="E467" s="195" t="s">
        <v>149</v>
      </c>
      <c r="F467" s="196" t="s">
        <v>153</v>
      </c>
      <c r="G467" s="197" t="s">
        <v>109</v>
      </c>
      <c r="H467" s="437">
        <f>'прил12(ведом 19)'!M154</f>
        <v>299.8</v>
      </c>
    </row>
    <row r="468" spans="1:8" ht="18.75">
      <c r="A468" s="460"/>
      <c r="B468" s="397" t="s">
        <v>110</v>
      </c>
      <c r="C468" s="194" t="s">
        <v>94</v>
      </c>
      <c r="D468" s="195" t="s">
        <v>98</v>
      </c>
      <c r="E468" s="195" t="s">
        <v>149</v>
      </c>
      <c r="F468" s="196" t="s">
        <v>153</v>
      </c>
      <c r="G468" s="197" t="s">
        <v>111</v>
      </c>
      <c r="H468" s="437">
        <f>'прил12(ведом 19)'!M155</f>
        <v>48.6</v>
      </c>
    </row>
    <row r="469" spans="1:8" ht="37.5">
      <c r="A469" s="460"/>
      <c r="B469" s="397" t="s">
        <v>862</v>
      </c>
      <c r="C469" s="194" t="s">
        <v>94</v>
      </c>
      <c r="D469" s="195" t="s">
        <v>98</v>
      </c>
      <c r="E469" s="195" t="s">
        <v>149</v>
      </c>
      <c r="F469" s="196" t="s">
        <v>861</v>
      </c>
      <c r="G469" s="197"/>
      <c r="H469" s="437">
        <f>H470</f>
        <v>1300</v>
      </c>
    </row>
    <row r="470" spans="1:8" ht="37.5">
      <c r="A470" s="460"/>
      <c r="B470" s="397" t="s">
        <v>108</v>
      </c>
      <c r="C470" s="194" t="s">
        <v>94</v>
      </c>
      <c r="D470" s="195" t="s">
        <v>98</v>
      </c>
      <c r="E470" s="195" t="s">
        <v>149</v>
      </c>
      <c r="F470" s="196" t="s">
        <v>861</v>
      </c>
      <c r="G470" s="197" t="s">
        <v>109</v>
      </c>
      <c r="H470" s="437">
        <f>'прил12(ведом 19)'!M157</f>
        <v>1300</v>
      </c>
    </row>
    <row r="471" spans="1:8" ht="56.25">
      <c r="A471" s="460"/>
      <c r="B471" s="397" t="s">
        <v>617</v>
      </c>
      <c r="C471" s="194" t="s">
        <v>94</v>
      </c>
      <c r="D471" s="195" t="s">
        <v>98</v>
      </c>
      <c r="E471" s="195" t="s">
        <v>149</v>
      </c>
      <c r="F471" s="196" t="s">
        <v>475</v>
      </c>
      <c r="G471" s="197"/>
      <c r="H471" s="437">
        <f>H472</f>
        <v>475.59999999999997</v>
      </c>
    </row>
    <row r="472" spans="1:8" ht="18.75">
      <c r="A472" s="460"/>
      <c r="B472" s="436" t="s">
        <v>186</v>
      </c>
      <c r="C472" s="194" t="s">
        <v>94</v>
      </c>
      <c r="D472" s="195" t="s">
        <v>98</v>
      </c>
      <c r="E472" s="195" t="s">
        <v>149</v>
      </c>
      <c r="F472" s="196" t="s">
        <v>475</v>
      </c>
      <c r="G472" s="197" t="s">
        <v>187</v>
      </c>
      <c r="H472" s="437">
        <f>'прил12(ведом 19)'!M159</f>
        <v>475.59999999999997</v>
      </c>
    </row>
    <row r="473" spans="1:8" ht="18.75">
      <c r="A473" s="460"/>
      <c r="B473" s="436"/>
      <c r="C473" s="195"/>
      <c r="D473" s="195"/>
      <c r="E473" s="195"/>
      <c r="F473" s="196"/>
      <c r="G473" s="197"/>
      <c r="H473" s="437"/>
    </row>
    <row r="474" spans="1:8" ht="56.25">
      <c r="A474" s="441">
        <v>16</v>
      </c>
      <c r="B474" s="462" t="s">
        <v>313</v>
      </c>
      <c r="C474" s="442" t="s">
        <v>314</v>
      </c>
      <c r="D474" s="442" t="s">
        <v>95</v>
      </c>
      <c r="E474" s="442" t="s">
        <v>96</v>
      </c>
      <c r="F474" s="443" t="s">
        <v>97</v>
      </c>
      <c r="G474" s="433"/>
      <c r="H474" s="434">
        <f>H475</f>
        <v>90.6</v>
      </c>
    </row>
    <row r="475" spans="1:8" ht="29.25" customHeight="1">
      <c r="A475" s="423"/>
      <c r="B475" s="436" t="s">
        <v>491</v>
      </c>
      <c r="C475" s="194" t="s">
        <v>314</v>
      </c>
      <c r="D475" s="195" t="s">
        <v>98</v>
      </c>
      <c r="E475" s="195" t="s">
        <v>96</v>
      </c>
      <c r="F475" s="196" t="s">
        <v>97</v>
      </c>
      <c r="G475" s="197"/>
      <c r="H475" s="437">
        <f>H476</f>
        <v>90.6</v>
      </c>
    </row>
    <row r="476" spans="1:8" ht="56.25">
      <c r="A476" s="423"/>
      <c r="B476" s="436" t="s">
        <v>393</v>
      </c>
      <c r="C476" s="194" t="s">
        <v>314</v>
      </c>
      <c r="D476" s="195" t="s">
        <v>98</v>
      </c>
      <c r="E476" s="195" t="s">
        <v>90</v>
      </c>
      <c r="F476" s="196" t="s">
        <v>97</v>
      </c>
      <c r="G476" s="197"/>
      <c r="H476" s="437">
        <f>H477</f>
        <v>90.6</v>
      </c>
    </row>
    <row r="477" spans="1:8" ht="37.5">
      <c r="A477" s="423"/>
      <c r="B477" s="436" t="s">
        <v>315</v>
      </c>
      <c r="C477" s="194" t="s">
        <v>314</v>
      </c>
      <c r="D477" s="195" t="s">
        <v>98</v>
      </c>
      <c r="E477" s="195" t="s">
        <v>90</v>
      </c>
      <c r="F477" s="196" t="s">
        <v>387</v>
      </c>
      <c r="G477" s="197"/>
      <c r="H477" s="437">
        <f>H478</f>
        <v>90.6</v>
      </c>
    </row>
    <row r="478" spans="1:8" ht="56.25">
      <c r="A478" s="423"/>
      <c r="B478" s="436" t="s">
        <v>135</v>
      </c>
      <c r="C478" s="194" t="s">
        <v>314</v>
      </c>
      <c r="D478" s="195" t="s">
        <v>98</v>
      </c>
      <c r="E478" s="195" t="s">
        <v>90</v>
      </c>
      <c r="F478" s="196" t="s">
        <v>387</v>
      </c>
      <c r="G478" s="197" t="s">
        <v>136</v>
      </c>
      <c r="H478" s="437">
        <f>'прил12(ведом 19)'!M387</f>
        <v>90.6</v>
      </c>
    </row>
    <row r="479" spans="1:8" ht="18.75">
      <c r="A479" s="460"/>
      <c r="B479" s="436"/>
      <c r="C479" s="195"/>
      <c r="D479" s="195"/>
      <c r="E479" s="195"/>
      <c r="F479" s="195"/>
      <c r="G479" s="197"/>
      <c r="H479" s="437"/>
    </row>
    <row r="480" spans="1:8" ht="37.5">
      <c r="A480" s="441">
        <v>17</v>
      </c>
      <c r="B480" s="494" t="s">
        <v>199</v>
      </c>
      <c r="C480" s="442" t="s">
        <v>200</v>
      </c>
      <c r="D480" s="442" t="s">
        <v>95</v>
      </c>
      <c r="E480" s="442" t="s">
        <v>96</v>
      </c>
      <c r="F480" s="442" t="s">
        <v>97</v>
      </c>
      <c r="G480" s="433"/>
      <c r="H480" s="434">
        <f>H481</f>
        <v>3999.2000000000003</v>
      </c>
    </row>
    <row r="481" spans="1:8" ht="56.25">
      <c r="A481" s="423"/>
      <c r="B481" s="445" t="s">
        <v>202</v>
      </c>
      <c r="C481" s="194" t="s">
        <v>200</v>
      </c>
      <c r="D481" s="195" t="s">
        <v>98</v>
      </c>
      <c r="E481" s="195" t="s">
        <v>96</v>
      </c>
      <c r="F481" s="196" t="s">
        <v>97</v>
      </c>
      <c r="G481" s="197"/>
      <c r="H481" s="437">
        <f>H482+H485+H490</f>
        <v>3999.2000000000003</v>
      </c>
    </row>
    <row r="482" spans="1:8" ht="37.5">
      <c r="A482" s="423"/>
      <c r="B482" s="436" t="s">
        <v>201</v>
      </c>
      <c r="C482" s="194" t="s">
        <v>200</v>
      </c>
      <c r="D482" s="195" t="s">
        <v>98</v>
      </c>
      <c r="E482" s="195" t="s">
        <v>90</v>
      </c>
      <c r="F482" s="196" t="s">
        <v>97</v>
      </c>
      <c r="G482" s="197"/>
      <c r="H482" s="437">
        <f>H483</f>
        <v>1182.7</v>
      </c>
    </row>
    <row r="483" spans="1:8" ht="37.5">
      <c r="A483" s="423"/>
      <c r="B483" s="436" t="s">
        <v>100</v>
      </c>
      <c r="C483" s="194" t="s">
        <v>200</v>
      </c>
      <c r="D483" s="195" t="s">
        <v>98</v>
      </c>
      <c r="E483" s="195" t="s">
        <v>90</v>
      </c>
      <c r="F483" s="196" t="s">
        <v>101</v>
      </c>
      <c r="G483" s="197"/>
      <c r="H483" s="437">
        <f>H484</f>
        <v>1182.7</v>
      </c>
    </row>
    <row r="484" spans="1:8" ht="93.75">
      <c r="A484" s="423"/>
      <c r="B484" s="445" t="s">
        <v>102</v>
      </c>
      <c r="C484" s="194" t="s">
        <v>200</v>
      </c>
      <c r="D484" s="195" t="s">
        <v>98</v>
      </c>
      <c r="E484" s="195" t="s">
        <v>90</v>
      </c>
      <c r="F484" s="196" t="s">
        <v>101</v>
      </c>
      <c r="G484" s="197" t="s">
        <v>103</v>
      </c>
      <c r="H484" s="437">
        <f>'прил12(ведом 19)'!M246</f>
        <v>1182.7</v>
      </c>
    </row>
    <row r="485" spans="1:8" ht="37.5">
      <c r="A485" s="423"/>
      <c r="B485" s="436" t="s">
        <v>203</v>
      </c>
      <c r="C485" s="194" t="s">
        <v>200</v>
      </c>
      <c r="D485" s="195" t="s">
        <v>98</v>
      </c>
      <c r="E485" s="195" t="s">
        <v>92</v>
      </c>
      <c r="F485" s="196" t="s">
        <v>97</v>
      </c>
      <c r="G485" s="197"/>
      <c r="H485" s="437">
        <f>H486</f>
        <v>1952.9</v>
      </c>
    </row>
    <row r="486" spans="1:8" ht="37.5">
      <c r="A486" s="423"/>
      <c r="B486" s="436" t="s">
        <v>100</v>
      </c>
      <c r="C486" s="194" t="s">
        <v>200</v>
      </c>
      <c r="D486" s="195" t="s">
        <v>98</v>
      </c>
      <c r="E486" s="195" t="s">
        <v>92</v>
      </c>
      <c r="F486" s="196" t="s">
        <v>101</v>
      </c>
      <c r="G486" s="197"/>
      <c r="H486" s="437">
        <f>SUM(H487:H489)</f>
        <v>1952.9</v>
      </c>
    </row>
    <row r="487" spans="1:8" ht="93.75">
      <c r="A487" s="423"/>
      <c r="B487" s="436" t="s">
        <v>102</v>
      </c>
      <c r="C487" s="194" t="s">
        <v>200</v>
      </c>
      <c r="D487" s="195" t="s">
        <v>98</v>
      </c>
      <c r="E487" s="195" t="s">
        <v>92</v>
      </c>
      <c r="F487" s="196" t="s">
        <v>101</v>
      </c>
      <c r="G487" s="197" t="s">
        <v>103</v>
      </c>
      <c r="H487" s="437">
        <f>'прил12(ведом 19)'!M249</f>
        <v>1759.077</v>
      </c>
    </row>
    <row r="488" spans="1:8" ht="37.5">
      <c r="A488" s="423"/>
      <c r="B488" s="436" t="s">
        <v>108</v>
      </c>
      <c r="C488" s="194" t="s">
        <v>200</v>
      </c>
      <c r="D488" s="195" t="s">
        <v>98</v>
      </c>
      <c r="E488" s="195" t="s">
        <v>92</v>
      </c>
      <c r="F488" s="196" t="s">
        <v>101</v>
      </c>
      <c r="G488" s="197" t="s">
        <v>109</v>
      </c>
      <c r="H488" s="437">
        <f>'прил12(ведом 19)'!M250</f>
        <v>183.82300000000001</v>
      </c>
    </row>
    <row r="489" spans="1:8" ht="18.75">
      <c r="A489" s="423"/>
      <c r="B489" s="436" t="s">
        <v>110</v>
      </c>
      <c r="C489" s="194" t="s">
        <v>200</v>
      </c>
      <c r="D489" s="195" t="s">
        <v>98</v>
      </c>
      <c r="E489" s="195" t="s">
        <v>92</v>
      </c>
      <c r="F489" s="196" t="s">
        <v>101</v>
      </c>
      <c r="G489" s="197" t="s">
        <v>111</v>
      </c>
      <c r="H489" s="437">
        <f>'прил12(ведом 19)'!M251</f>
        <v>10</v>
      </c>
    </row>
    <row r="490" spans="1:8" ht="56.25">
      <c r="A490" s="423"/>
      <c r="B490" s="436" t="s">
        <v>465</v>
      </c>
      <c r="C490" s="194" t="s">
        <v>200</v>
      </c>
      <c r="D490" s="195" t="s">
        <v>98</v>
      </c>
      <c r="E490" s="195" t="s">
        <v>119</v>
      </c>
      <c r="F490" s="196" t="s">
        <v>97</v>
      </c>
      <c r="G490" s="197"/>
      <c r="H490" s="437">
        <f>H491</f>
        <v>863.6</v>
      </c>
    </row>
    <row r="491" spans="1:8" ht="37.5">
      <c r="A491" s="423"/>
      <c r="B491" s="436" t="s">
        <v>316</v>
      </c>
      <c r="C491" s="194" t="s">
        <v>200</v>
      </c>
      <c r="D491" s="195" t="s">
        <v>98</v>
      </c>
      <c r="E491" s="195" t="s">
        <v>119</v>
      </c>
      <c r="F491" s="196" t="s">
        <v>204</v>
      </c>
      <c r="G491" s="197"/>
      <c r="H491" s="437">
        <f>SUM(H492:H492)</f>
        <v>863.6</v>
      </c>
    </row>
    <row r="492" spans="1:8" ht="93.75">
      <c r="A492" s="423"/>
      <c r="B492" s="436" t="s">
        <v>102</v>
      </c>
      <c r="C492" s="194" t="s">
        <v>200</v>
      </c>
      <c r="D492" s="195" t="s">
        <v>98</v>
      </c>
      <c r="E492" s="195" t="s">
        <v>119</v>
      </c>
      <c r="F492" s="196" t="s">
        <v>204</v>
      </c>
      <c r="G492" s="197" t="s">
        <v>103</v>
      </c>
      <c r="H492" s="437">
        <f>'прил12(ведом 19)'!M254</f>
        <v>863.6</v>
      </c>
    </row>
    <row r="493" spans="1:8" ht="18.75">
      <c r="A493" s="423"/>
      <c r="B493" s="440"/>
      <c r="C493" s="553"/>
      <c r="D493" s="553"/>
      <c r="E493" s="553"/>
      <c r="F493" s="553"/>
      <c r="G493" s="422"/>
      <c r="H493" s="437"/>
    </row>
    <row r="494" spans="1:8" s="435" customFormat="1" ht="37.5">
      <c r="A494" s="441">
        <v>18</v>
      </c>
      <c r="B494" s="494" t="s">
        <v>124</v>
      </c>
      <c r="C494" s="442" t="s">
        <v>125</v>
      </c>
      <c r="D494" s="442" t="s">
        <v>95</v>
      </c>
      <c r="E494" s="442" t="s">
        <v>96</v>
      </c>
      <c r="F494" s="442" t="s">
        <v>97</v>
      </c>
      <c r="G494" s="433"/>
      <c r="H494" s="434">
        <f>H495</f>
        <v>5226.5999999999995</v>
      </c>
    </row>
    <row r="495" spans="1:8" ht="37.5">
      <c r="A495" s="423"/>
      <c r="B495" s="445" t="s">
        <v>126</v>
      </c>
      <c r="C495" s="194" t="s">
        <v>125</v>
      </c>
      <c r="D495" s="195" t="s">
        <v>98</v>
      </c>
      <c r="E495" s="195" t="s">
        <v>96</v>
      </c>
      <c r="F495" s="196" t="s">
        <v>97</v>
      </c>
      <c r="G495" s="197"/>
      <c r="H495" s="437">
        <f>H496</f>
        <v>5226.5999999999995</v>
      </c>
    </row>
    <row r="496" spans="1:8" ht="18.75">
      <c r="A496" s="423"/>
      <c r="B496" s="436" t="s">
        <v>122</v>
      </c>
      <c r="C496" s="194" t="s">
        <v>125</v>
      </c>
      <c r="D496" s="195" t="s">
        <v>98</v>
      </c>
      <c r="E496" s="195" t="s">
        <v>90</v>
      </c>
      <c r="F496" s="196" t="s">
        <v>97</v>
      </c>
      <c r="G496" s="197"/>
      <c r="H496" s="437">
        <f>H497+H499</f>
        <v>5226.5999999999995</v>
      </c>
    </row>
    <row r="497" spans="1:8" ht="18.75">
      <c r="A497" s="423"/>
      <c r="B497" s="436" t="s">
        <v>127</v>
      </c>
      <c r="C497" s="194" t="s">
        <v>125</v>
      </c>
      <c r="D497" s="195" t="s">
        <v>98</v>
      </c>
      <c r="E497" s="195" t="s">
        <v>90</v>
      </c>
      <c r="F497" s="196" t="s">
        <v>128</v>
      </c>
      <c r="G497" s="197"/>
      <c r="H497" s="437">
        <f>H498</f>
        <v>4099.8939999999993</v>
      </c>
    </row>
    <row r="498" spans="1:8" ht="18.75">
      <c r="A498" s="423"/>
      <c r="B498" s="436" t="s">
        <v>110</v>
      </c>
      <c r="C498" s="194" t="s">
        <v>125</v>
      </c>
      <c r="D498" s="195" t="s">
        <v>98</v>
      </c>
      <c r="E498" s="195" t="s">
        <v>90</v>
      </c>
      <c r="F498" s="196" t="s">
        <v>128</v>
      </c>
      <c r="G498" s="197" t="s">
        <v>111</v>
      </c>
      <c r="H498" s="437">
        <f>'прил12(ведом 19)'!M55</f>
        <v>4099.8939999999993</v>
      </c>
    </row>
    <row r="499" spans="1:8" ht="93.75">
      <c r="A499" s="749"/>
      <c r="B499" s="436" t="s">
        <v>884</v>
      </c>
      <c r="C499" s="194" t="s">
        <v>125</v>
      </c>
      <c r="D499" s="195" t="s">
        <v>98</v>
      </c>
      <c r="E499" s="195" t="s">
        <v>90</v>
      </c>
      <c r="F499" s="195" t="s">
        <v>883</v>
      </c>
      <c r="G499" s="197"/>
      <c r="H499" s="437">
        <f>H500</f>
        <v>1126.7059999999999</v>
      </c>
    </row>
    <row r="500" spans="1:8" ht="18.75">
      <c r="A500" s="749"/>
      <c r="B500" s="436" t="s">
        <v>186</v>
      </c>
      <c r="C500" s="194" t="s">
        <v>125</v>
      </c>
      <c r="D500" s="195" t="s">
        <v>98</v>
      </c>
      <c r="E500" s="195" t="s">
        <v>90</v>
      </c>
      <c r="F500" s="195" t="s">
        <v>883</v>
      </c>
      <c r="G500" s="197" t="s">
        <v>187</v>
      </c>
      <c r="H500" s="775">
        <f>'прил12(ведом 19)'!M204</f>
        <v>1126.7059999999999</v>
      </c>
    </row>
    <row r="501" spans="1:8" ht="18.75">
      <c r="A501" s="495"/>
      <c r="B501" s="496"/>
      <c r="C501" s="497"/>
      <c r="D501" s="497"/>
      <c r="E501" s="497"/>
      <c r="F501" s="497"/>
      <c r="G501" s="497"/>
      <c r="H501" s="498"/>
    </row>
    <row r="502" spans="1:8" ht="18.75">
      <c r="A502" s="416"/>
      <c r="B502" s="328"/>
      <c r="C502" s="208"/>
      <c r="D502" s="208"/>
      <c r="E502" s="208"/>
      <c r="F502" s="208"/>
      <c r="G502" s="331"/>
    </row>
    <row r="503" spans="1:8" ht="18.75">
      <c r="A503" s="330" t="s">
        <v>588</v>
      </c>
      <c r="B503" s="328"/>
      <c r="C503" s="208"/>
      <c r="D503" s="208"/>
      <c r="E503" s="208"/>
      <c r="F503" s="208"/>
      <c r="G503" s="331"/>
    </row>
    <row r="504" spans="1:8" ht="18.75">
      <c r="A504" s="330" t="s">
        <v>589</v>
      </c>
      <c r="B504" s="328"/>
      <c r="C504" s="208"/>
      <c r="D504" s="208"/>
      <c r="E504" s="208"/>
      <c r="F504" s="208"/>
      <c r="G504" s="331"/>
    </row>
    <row r="505" spans="1:8" ht="18.75">
      <c r="A505" s="334" t="s">
        <v>590</v>
      </c>
      <c r="B505" s="328"/>
      <c r="C505" s="333"/>
      <c r="D505" s="208"/>
      <c r="E505" s="208"/>
      <c r="F505" s="208"/>
      <c r="G505" s="333"/>
      <c r="H505" s="335" t="s">
        <v>641</v>
      </c>
    </row>
    <row r="506" spans="1:8">
      <c r="A506" s="416"/>
      <c r="B506" s="328"/>
      <c r="C506" s="208"/>
      <c r="D506" s="208"/>
      <c r="E506" s="208"/>
      <c r="F506" s="208"/>
    </row>
    <row r="507" spans="1:8">
      <c r="A507" s="416"/>
      <c r="B507" s="328"/>
      <c r="C507" s="208"/>
      <c r="D507" s="208"/>
      <c r="E507" s="208"/>
      <c r="F507" s="208"/>
    </row>
    <row r="508" spans="1:8">
      <c r="A508" s="416"/>
      <c r="B508" s="328"/>
      <c r="C508" s="208"/>
      <c r="D508" s="208"/>
      <c r="E508" s="208"/>
      <c r="F508" s="208"/>
    </row>
    <row r="509" spans="1:8" ht="18.75">
      <c r="A509" s="416"/>
      <c r="B509" s="328"/>
      <c r="C509" s="208"/>
      <c r="D509" s="208"/>
      <c r="E509" s="208"/>
      <c r="F509" s="208"/>
      <c r="G509" s="331"/>
    </row>
    <row r="510" spans="1:8">
      <c r="B510" s="412" t="s">
        <v>317</v>
      </c>
      <c r="H510" s="415">
        <f>H13+H134+H179+H214+H229+H265+H284+H325+H380+H389+H397+H407+H415+H421+H368+H474</f>
        <v>1422201.2425400002</v>
      </c>
    </row>
    <row r="512" spans="1:8">
      <c r="H512" s="415">
        <f>(H510/H12)*100</f>
        <v>99.355482345531968</v>
      </c>
    </row>
    <row r="514" spans="2:8">
      <c r="B514" s="412" t="s">
        <v>318</v>
      </c>
      <c r="H514" s="415">
        <f>H480+H494</f>
        <v>9225.7999999999993</v>
      </c>
    </row>
    <row r="515" spans="2:8">
      <c r="H515" s="415">
        <f>(H514/H516)*100</f>
        <v>0.64451765446803699</v>
      </c>
    </row>
    <row r="516" spans="2:8">
      <c r="H516" s="415">
        <f>H510+H514</f>
        <v>1431427.0425400003</v>
      </c>
    </row>
  </sheetData>
  <mergeCells count="3">
    <mergeCell ref="A7:H7"/>
    <mergeCell ref="C10:F10"/>
    <mergeCell ref="C11:F11"/>
  </mergeCells>
  <printOptions horizontalCentered="1"/>
  <pageMargins left="1.1811023622047245" right="0.39370078740157483" top="0.78740157480314965" bottom="0.78740157480314965" header="0" footer="0"/>
  <pageSetup paperSize="9" scale="78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FF00"/>
    <pageSetUpPr fitToPage="1"/>
  </sheetPr>
  <dimension ref="A1:L292"/>
  <sheetViews>
    <sheetView view="pageBreakPreview" topLeftCell="C1" zoomScale="70" zoomScaleNormal="90" zoomScaleSheetLayoutView="70" workbookViewId="0">
      <pane ySplit="5" topLeftCell="A197" activePane="bottomLeft" state="frozen"/>
      <selection activeCell="F6" sqref="F6"/>
      <selection pane="bottomLeft" activeCell="I2" sqref="I2"/>
    </sheetView>
  </sheetViews>
  <sheetFormatPr defaultColWidth="9.140625" defaultRowHeight="15.75"/>
  <cols>
    <col min="1" max="1" width="4.5703125" style="411" customWidth="1"/>
    <col min="2" max="2" width="62.42578125" style="412" customWidth="1"/>
    <col min="3" max="3" width="3.140625" style="413" customWidth="1"/>
    <col min="4" max="4" width="2.28515625" style="413" customWidth="1"/>
    <col min="5" max="5" width="3" style="413" customWidth="1"/>
    <col min="6" max="6" width="8.5703125" style="413" customWidth="1"/>
    <col min="7" max="7" width="5.5703125" style="414" customWidth="1"/>
    <col min="8" max="8" width="14" style="332" customWidth="1"/>
    <col min="9" max="9" width="13.28515625" style="333" customWidth="1"/>
    <col min="10" max="10" width="17.7109375" style="333" customWidth="1"/>
    <col min="11" max="11" width="17.28515625" style="333" customWidth="1"/>
    <col min="12" max="16384" width="9.140625" style="333"/>
  </cols>
  <sheetData>
    <row r="1" spans="1:12" s="236" customFormat="1" ht="18.75">
      <c r="I1" s="244" t="s">
        <v>698</v>
      </c>
    </row>
    <row r="2" spans="1:12" s="236" customFormat="1" ht="18.75">
      <c r="I2" s="244" t="s">
        <v>907</v>
      </c>
    </row>
    <row r="3" spans="1:12" s="236" customFormat="1" ht="18.75">
      <c r="H3" s="244"/>
    </row>
    <row r="4" spans="1:12" ht="18.75">
      <c r="I4" s="244" t="s">
        <v>750</v>
      </c>
    </row>
    <row r="5" spans="1:12" ht="18.75">
      <c r="I5" s="244" t="s">
        <v>817</v>
      </c>
    </row>
    <row r="8" spans="1:12" ht="72" customHeight="1">
      <c r="A8" s="929" t="s">
        <v>751</v>
      </c>
      <c r="B8" s="929"/>
      <c r="C8" s="929"/>
      <c r="D8" s="929"/>
      <c r="E8" s="929"/>
      <c r="F8" s="929"/>
      <c r="G8" s="929"/>
      <c r="H8" s="929"/>
      <c r="I8" s="929"/>
    </row>
    <row r="9" spans="1:12">
      <c r="A9" s="333"/>
      <c r="B9" s="333"/>
      <c r="C9" s="411"/>
      <c r="D9" s="411"/>
      <c r="E9" s="411"/>
      <c r="F9" s="411"/>
      <c r="G9" s="415"/>
    </row>
    <row r="10" spans="1:12" ht="18.75">
      <c r="A10" s="416"/>
      <c r="B10" s="328"/>
      <c r="C10" s="208"/>
      <c r="D10" s="208"/>
      <c r="E10" s="208"/>
      <c r="F10" s="208"/>
      <c r="G10" s="333"/>
      <c r="I10" s="610" t="s">
        <v>75</v>
      </c>
    </row>
    <row r="11" spans="1:12" ht="18.75">
      <c r="A11" s="937" t="s">
        <v>76</v>
      </c>
      <c r="B11" s="938" t="s">
        <v>77</v>
      </c>
      <c r="C11" s="938" t="s">
        <v>81</v>
      </c>
      <c r="D11" s="938"/>
      <c r="E11" s="938"/>
      <c r="F11" s="938"/>
      <c r="G11" s="938" t="s">
        <v>82</v>
      </c>
      <c r="H11" s="936" t="s">
        <v>66</v>
      </c>
      <c r="I11" s="936"/>
    </row>
    <row r="12" spans="1:12" ht="40.9" customHeight="1">
      <c r="A12" s="937"/>
      <c r="B12" s="938"/>
      <c r="C12" s="938"/>
      <c r="D12" s="938"/>
      <c r="E12" s="938"/>
      <c r="F12" s="938"/>
      <c r="G12" s="938"/>
      <c r="H12" s="582" t="s">
        <v>591</v>
      </c>
      <c r="I12" s="582" t="s">
        <v>716</v>
      </c>
    </row>
    <row r="13" spans="1:12" ht="18.75">
      <c r="A13" s="358">
        <v>1</v>
      </c>
      <c r="B13" s="421">
        <v>2</v>
      </c>
      <c r="C13" s="933" t="s">
        <v>83</v>
      </c>
      <c r="D13" s="934"/>
      <c r="E13" s="934"/>
      <c r="F13" s="935"/>
      <c r="G13" s="422" t="s">
        <v>84</v>
      </c>
      <c r="H13" s="359">
        <v>5</v>
      </c>
      <c r="I13" s="359">
        <v>6</v>
      </c>
    </row>
    <row r="14" spans="1:12" ht="18.75">
      <c r="A14" s="423"/>
      <c r="B14" s="424" t="s">
        <v>281</v>
      </c>
      <c r="C14" s="425"/>
      <c r="D14" s="425"/>
      <c r="E14" s="425"/>
      <c r="F14" s="425"/>
      <c r="G14" s="426"/>
      <c r="H14" s="427">
        <f>H15+H73+H98+H117+H130+H145+H155+H165+H202+H211+H223+H257+H266+H272+H217</f>
        <v>1262652.2000000002</v>
      </c>
      <c r="I14" s="427">
        <f>I15+I73+I98+I117+I130+I145+I155+I165+I202+I211+I223+I257+I266+I272+I217</f>
        <v>1229700.7000000002</v>
      </c>
      <c r="J14" s="428">
        <f>H14-'прил13(ведом 20-21)'!M15</f>
        <v>0</v>
      </c>
      <c r="K14" s="428">
        <f>I14-'прил13(ведом 20-21)'!N15</f>
        <v>0</v>
      </c>
      <c r="L14" s="428"/>
    </row>
    <row r="15" spans="1:12" s="435" customFormat="1" ht="56.25">
      <c r="A15" s="429">
        <v>1</v>
      </c>
      <c r="B15" s="430" t="s">
        <v>284</v>
      </c>
      <c r="C15" s="431" t="s">
        <v>92</v>
      </c>
      <c r="D15" s="431" t="s">
        <v>95</v>
      </c>
      <c r="E15" s="431" t="s">
        <v>96</v>
      </c>
      <c r="F15" s="432" t="s">
        <v>97</v>
      </c>
      <c r="G15" s="433"/>
      <c r="H15" s="434">
        <f>H16+H44+H55</f>
        <v>841442.49999999988</v>
      </c>
      <c r="I15" s="434">
        <f>I16+I44+I55</f>
        <v>818155.6</v>
      </c>
    </row>
    <row r="16" spans="1:12" ht="37.5">
      <c r="A16" s="423"/>
      <c r="B16" s="436" t="s">
        <v>285</v>
      </c>
      <c r="C16" s="553" t="s">
        <v>92</v>
      </c>
      <c r="D16" s="553" t="s">
        <v>98</v>
      </c>
      <c r="E16" s="553" t="s">
        <v>96</v>
      </c>
      <c r="F16" s="554" t="s">
        <v>97</v>
      </c>
      <c r="G16" s="422"/>
      <c r="H16" s="437">
        <f>H17+H27</f>
        <v>752801.7</v>
      </c>
      <c r="I16" s="437">
        <f>I17+I27</f>
        <v>732069.89999999991</v>
      </c>
    </row>
    <row r="17" spans="1:9" ht="18.75">
      <c r="A17" s="423"/>
      <c r="B17" s="436" t="s">
        <v>373</v>
      </c>
      <c r="C17" s="194" t="s">
        <v>92</v>
      </c>
      <c r="D17" s="195" t="s">
        <v>98</v>
      </c>
      <c r="E17" s="195" t="s">
        <v>90</v>
      </c>
      <c r="F17" s="196" t="s">
        <v>97</v>
      </c>
      <c r="G17" s="422"/>
      <c r="H17" s="437">
        <f>H20+H23+H25+H18</f>
        <v>291148.5</v>
      </c>
      <c r="I17" s="437">
        <f>I20+I23+I25+I18</f>
        <v>277967.09999999998</v>
      </c>
    </row>
    <row r="18" spans="1:9" ht="75">
      <c r="A18" s="423"/>
      <c r="B18" s="436" t="s">
        <v>151</v>
      </c>
      <c r="C18" s="194" t="s">
        <v>92</v>
      </c>
      <c r="D18" s="195" t="s">
        <v>98</v>
      </c>
      <c r="E18" s="195" t="s">
        <v>90</v>
      </c>
      <c r="F18" s="196" t="s">
        <v>153</v>
      </c>
      <c r="G18" s="197"/>
      <c r="H18" s="437">
        <f>H19</f>
        <v>80461.899999999994</v>
      </c>
      <c r="I18" s="437">
        <f>I19</f>
        <v>67259.399999999994</v>
      </c>
    </row>
    <row r="19" spans="1:9" ht="56.25">
      <c r="A19" s="423"/>
      <c r="B19" s="436" t="s">
        <v>135</v>
      </c>
      <c r="C19" s="194" t="s">
        <v>92</v>
      </c>
      <c r="D19" s="195" t="s">
        <v>98</v>
      </c>
      <c r="E19" s="195" t="s">
        <v>90</v>
      </c>
      <c r="F19" s="196" t="s">
        <v>153</v>
      </c>
      <c r="G19" s="197" t="s">
        <v>136</v>
      </c>
      <c r="H19" s="437">
        <f>'прил13(ведом 20-21)'!M172</f>
        <v>80461.899999999994</v>
      </c>
      <c r="I19" s="437">
        <f>'прил13(ведом 20-21)'!N172</f>
        <v>67259.399999999994</v>
      </c>
    </row>
    <row r="20" spans="1:9" ht="131.25">
      <c r="A20" s="423"/>
      <c r="B20" s="436" t="s">
        <v>390</v>
      </c>
      <c r="C20" s="194" t="s">
        <v>92</v>
      </c>
      <c r="D20" s="195" t="s">
        <v>98</v>
      </c>
      <c r="E20" s="195" t="s">
        <v>90</v>
      </c>
      <c r="F20" s="196" t="s">
        <v>391</v>
      </c>
      <c r="G20" s="197"/>
      <c r="H20" s="437">
        <f>SUM(H21:H22)</f>
        <v>9069.2000000000007</v>
      </c>
      <c r="I20" s="437">
        <f>SUM(I21:I22)</f>
        <v>9069.2000000000007</v>
      </c>
    </row>
    <row r="21" spans="1:9" ht="37.5">
      <c r="A21" s="423"/>
      <c r="B21" s="436" t="s">
        <v>108</v>
      </c>
      <c r="C21" s="194" t="s">
        <v>92</v>
      </c>
      <c r="D21" s="195" t="s">
        <v>98</v>
      </c>
      <c r="E21" s="195" t="s">
        <v>90</v>
      </c>
      <c r="F21" s="196" t="s">
        <v>391</v>
      </c>
      <c r="G21" s="197" t="s">
        <v>109</v>
      </c>
      <c r="H21" s="437">
        <f>'прил13(ведом 20-21)'!M242</f>
        <v>134</v>
      </c>
      <c r="I21" s="437">
        <f>'прил13(ведом 20-21)'!N242</f>
        <v>134</v>
      </c>
    </row>
    <row r="22" spans="1:9" ht="37.5">
      <c r="A22" s="423"/>
      <c r="B22" s="438" t="s">
        <v>183</v>
      </c>
      <c r="C22" s="194" t="s">
        <v>92</v>
      </c>
      <c r="D22" s="195" t="s">
        <v>98</v>
      </c>
      <c r="E22" s="195" t="s">
        <v>90</v>
      </c>
      <c r="F22" s="196" t="s">
        <v>391</v>
      </c>
      <c r="G22" s="197" t="s">
        <v>184</v>
      </c>
      <c r="H22" s="437">
        <f>'прил13(ведом 20-21)'!M243</f>
        <v>8935.2000000000007</v>
      </c>
      <c r="I22" s="437">
        <f>'прил13(ведом 20-21)'!N243</f>
        <v>8935.2000000000007</v>
      </c>
    </row>
    <row r="23" spans="1:9" ht="158.44999999999999" customHeight="1">
      <c r="A23" s="423"/>
      <c r="B23" s="436" t="s">
        <v>374</v>
      </c>
      <c r="C23" s="194" t="s">
        <v>92</v>
      </c>
      <c r="D23" s="195" t="s">
        <v>98</v>
      </c>
      <c r="E23" s="195" t="s">
        <v>90</v>
      </c>
      <c r="F23" s="196" t="s">
        <v>375</v>
      </c>
      <c r="G23" s="197"/>
      <c r="H23" s="437">
        <f>H24</f>
        <v>529.5</v>
      </c>
      <c r="I23" s="437">
        <f>I24</f>
        <v>550.59999999999991</v>
      </c>
    </row>
    <row r="24" spans="1:9" ht="56.25">
      <c r="A24" s="423"/>
      <c r="B24" s="436" t="s">
        <v>135</v>
      </c>
      <c r="C24" s="194" t="s">
        <v>92</v>
      </c>
      <c r="D24" s="195" t="s">
        <v>98</v>
      </c>
      <c r="E24" s="195" t="s">
        <v>90</v>
      </c>
      <c r="F24" s="196" t="s">
        <v>375</v>
      </c>
      <c r="G24" s="197" t="s">
        <v>136</v>
      </c>
      <c r="H24" s="437">
        <f>'прил13(ведом 20-21)'!M174</f>
        <v>529.5</v>
      </c>
      <c r="I24" s="437">
        <f>'прил13(ведом 20-21)'!N174</f>
        <v>550.59999999999991</v>
      </c>
    </row>
    <row r="25" spans="1:9" ht="112.5">
      <c r="A25" s="423"/>
      <c r="B25" s="436" t="s">
        <v>503</v>
      </c>
      <c r="C25" s="194" t="s">
        <v>92</v>
      </c>
      <c r="D25" s="195" t="s">
        <v>98</v>
      </c>
      <c r="E25" s="195" t="s">
        <v>90</v>
      </c>
      <c r="F25" s="196" t="s">
        <v>376</v>
      </c>
      <c r="G25" s="197"/>
      <c r="H25" s="437">
        <f>H26</f>
        <v>201087.9</v>
      </c>
      <c r="I25" s="437">
        <f>I26</f>
        <v>201087.9</v>
      </c>
    </row>
    <row r="26" spans="1:9" ht="56.25">
      <c r="A26" s="423"/>
      <c r="B26" s="438" t="s">
        <v>135</v>
      </c>
      <c r="C26" s="194" t="s">
        <v>92</v>
      </c>
      <c r="D26" s="195" t="s">
        <v>98</v>
      </c>
      <c r="E26" s="195" t="s">
        <v>90</v>
      </c>
      <c r="F26" s="196" t="s">
        <v>376</v>
      </c>
      <c r="G26" s="197" t="s">
        <v>136</v>
      </c>
      <c r="H26" s="437">
        <f>'прил13(ведом 20-21)'!M176</f>
        <v>201087.9</v>
      </c>
      <c r="I26" s="437">
        <f>'прил13(ведом 20-21)'!N176</f>
        <v>201087.9</v>
      </c>
    </row>
    <row r="27" spans="1:9" ht="18.75">
      <c r="A27" s="423"/>
      <c r="B27" s="436" t="s">
        <v>378</v>
      </c>
      <c r="C27" s="194" t="s">
        <v>92</v>
      </c>
      <c r="D27" s="195" t="s">
        <v>98</v>
      </c>
      <c r="E27" s="195" t="s">
        <v>92</v>
      </c>
      <c r="F27" s="196" t="s">
        <v>97</v>
      </c>
      <c r="G27" s="197"/>
      <c r="H27" s="437">
        <f>H33+H37+H41+H28</f>
        <v>461653.19999999995</v>
      </c>
      <c r="I27" s="437">
        <f>I33+I37+I41+I28</f>
        <v>454102.79999999993</v>
      </c>
    </row>
    <row r="28" spans="1:9" ht="75">
      <c r="A28" s="423"/>
      <c r="B28" s="436" t="s">
        <v>151</v>
      </c>
      <c r="C28" s="194" t="s">
        <v>92</v>
      </c>
      <c r="D28" s="195" t="s">
        <v>98</v>
      </c>
      <c r="E28" s="195" t="s">
        <v>92</v>
      </c>
      <c r="F28" s="196" t="s">
        <v>153</v>
      </c>
      <c r="G28" s="197"/>
      <c r="H28" s="437">
        <f>SUM(H29:H32)</f>
        <v>71283.799999999988</v>
      </c>
      <c r="I28" s="437">
        <f>SUM(I29:I32)</f>
        <v>63584.600000000006</v>
      </c>
    </row>
    <row r="29" spans="1:9" ht="93.75">
      <c r="A29" s="423"/>
      <c r="B29" s="397" t="s">
        <v>102</v>
      </c>
      <c r="C29" s="194" t="s">
        <v>92</v>
      </c>
      <c r="D29" s="195" t="s">
        <v>98</v>
      </c>
      <c r="E29" s="195" t="s">
        <v>92</v>
      </c>
      <c r="F29" s="196" t="s">
        <v>153</v>
      </c>
      <c r="G29" s="197" t="s">
        <v>103</v>
      </c>
      <c r="H29" s="437">
        <f>'прил13(ведом 20-21)'!M182</f>
        <v>3791.6</v>
      </c>
      <c r="I29" s="437">
        <f>'прил13(ведом 20-21)'!N182</f>
        <v>3791.6</v>
      </c>
    </row>
    <row r="30" spans="1:9" ht="37.5">
      <c r="A30" s="423"/>
      <c r="B30" s="397" t="s">
        <v>108</v>
      </c>
      <c r="C30" s="194" t="s">
        <v>92</v>
      </c>
      <c r="D30" s="195" t="s">
        <v>98</v>
      </c>
      <c r="E30" s="195" t="s">
        <v>92</v>
      </c>
      <c r="F30" s="196" t="s">
        <v>153</v>
      </c>
      <c r="G30" s="197" t="s">
        <v>109</v>
      </c>
      <c r="H30" s="437">
        <f>'прил13(ведом 20-21)'!M183</f>
        <v>3218.8</v>
      </c>
      <c r="I30" s="437">
        <f>'прил13(ведом 20-21)'!N183</f>
        <v>1518.2</v>
      </c>
    </row>
    <row r="31" spans="1:9" ht="56.25">
      <c r="A31" s="423"/>
      <c r="B31" s="436" t="s">
        <v>135</v>
      </c>
      <c r="C31" s="194" t="s">
        <v>92</v>
      </c>
      <c r="D31" s="195" t="s">
        <v>98</v>
      </c>
      <c r="E31" s="195" t="s">
        <v>92</v>
      </c>
      <c r="F31" s="196" t="s">
        <v>153</v>
      </c>
      <c r="G31" s="197" t="s">
        <v>136</v>
      </c>
      <c r="H31" s="437">
        <f>'прил13(ведом 20-21)'!M184</f>
        <v>63585.2</v>
      </c>
      <c r="I31" s="437">
        <f>'прил13(ведом 20-21)'!N184</f>
        <v>57599.4</v>
      </c>
    </row>
    <row r="32" spans="1:9" ht="18.75">
      <c r="A32" s="423"/>
      <c r="B32" s="436" t="s">
        <v>110</v>
      </c>
      <c r="C32" s="194" t="s">
        <v>92</v>
      </c>
      <c r="D32" s="195" t="s">
        <v>98</v>
      </c>
      <c r="E32" s="195" t="s">
        <v>92</v>
      </c>
      <c r="F32" s="196" t="s">
        <v>153</v>
      </c>
      <c r="G32" s="197" t="s">
        <v>111</v>
      </c>
      <c r="H32" s="437">
        <f>'прил13(ведом 20-21)'!M185</f>
        <v>688.2</v>
      </c>
      <c r="I32" s="437">
        <f>'прил13(ведом 20-21)'!N185</f>
        <v>675.4</v>
      </c>
    </row>
    <row r="33" spans="1:9" ht="157.15" customHeight="1">
      <c r="A33" s="423"/>
      <c r="B33" s="436" t="s">
        <v>374</v>
      </c>
      <c r="C33" s="194" t="s">
        <v>92</v>
      </c>
      <c r="D33" s="195" t="s">
        <v>98</v>
      </c>
      <c r="E33" s="195" t="s">
        <v>92</v>
      </c>
      <c r="F33" s="196" t="s">
        <v>375</v>
      </c>
      <c r="G33" s="197"/>
      <c r="H33" s="437">
        <f>SUM(H34:H36)</f>
        <v>1829.1</v>
      </c>
      <c r="I33" s="437">
        <f>SUM(I34:I36)</f>
        <v>1902.3</v>
      </c>
    </row>
    <row r="34" spans="1:9" ht="93.75">
      <c r="A34" s="423"/>
      <c r="B34" s="397" t="s">
        <v>102</v>
      </c>
      <c r="C34" s="194" t="s">
        <v>92</v>
      </c>
      <c r="D34" s="195" t="s">
        <v>98</v>
      </c>
      <c r="E34" s="195" t="s">
        <v>92</v>
      </c>
      <c r="F34" s="196" t="s">
        <v>375</v>
      </c>
      <c r="G34" s="197" t="s">
        <v>103</v>
      </c>
      <c r="H34" s="437">
        <f>'прил13(ведом 20-21)'!M187</f>
        <v>138.30000000000001</v>
      </c>
      <c r="I34" s="437">
        <f>'прил13(ведом 20-21)'!N187</f>
        <v>138.30000000000001</v>
      </c>
    </row>
    <row r="35" spans="1:9" ht="37.5">
      <c r="A35" s="423"/>
      <c r="B35" s="397" t="s">
        <v>183</v>
      </c>
      <c r="C35" s="194" t="s">
        <v>92</v>
      </c>
      <c r="D35" s="195" t="s">
        <v>98</v>
      </c>
      <c r="E35" s="195" t="s">
        <v>92</v>
      </c>
      <c r="F35" s="196" t="s">
        <v>375</v>
      </c>
      <c r="G35" s="197" t="s">
        <v>184</v>
      </c>
      <c r="H35" s="437">
        <f>'прил13(ведом 20-21)'!M188</f>
        <v>14</v>
      </c>
      <c r="I35" s="437">
        <f>'прил13(ведом 20-21)'!N188</f>
        <v>14</v>
      </c>
    </row>
    <row r="36" spans="1:9" ht="56.25">
      <c r="A36" s="423"/>
      <c r="B36" s="436" t="s">
        <v>135</v>
      </c>
      <c r="C36" s="194" t="s">
        <v>92</v>
      </c>
      <c r="D36" s="195" t="s">
        <v>98</v>
      </c>
      <c r="E36" s="195" t="s">
        <v>92</v>
      </c>
      <c r="F36" s="196" t="s">
        <v>375</v>
      </c>
      <c r="G36" s="197" t="s">
        <v>136</v>
      </c>
      <c r="H36" s="437">
        <f>'прил13(ведом 20-21)'!M189</f>
        <v>1676.8</v>
      </c>
      <c r="I36" s="437">
        <f>'прил13(ведом 20-21)'!N189</f>
        <v>1750</v>
      </c>
    </row>
    <row r="37" spans="1:9" ht="112.5">
      <c r="A37" s="423"/>
      <c r="B37" s="436" t="s">
        <v>503</v>
      </c>
      <c r="C37" s="194" t="s">
        <v>92</v>
      </c>
      <c r="D37" s="195" t="s">
        <v>98</v>
      </c>
      <c r="E37" s="195" t="s">
        <v>92</v>
      </c>
      <c r="F37" s="196" t="s">
        <v>376</v>
      </c>
      <c r="G37" s="197"/>
      <c r="H37" s="437">
        <f>SUM(H38:H40)</f>
        <v>384214.1</v>
      </c>
      <c r="I37" s="437">
        <f>SUM(I38:I40)</f>
        <v>384214.1</v>
      </c>
    </row>
    <row r="38" spans="1:9" ht="93.75">
      <c r="A38" s="423"/>
      <c r="B38" s="436" t="s">
        <v>102</v>
      </c>
      <c r="C38" s="194" t="s">
        <v>92</v>
      </c>
      <c r="D38" s="195" t="s">
        <v>98</v>
      </c>
      <c r="E38" s="195" t="s">
        <v>92</v>
      </c>
      <c r="F38" s="196" t="s">
        <v>376</v>
      </c>
      <c r="G38" s="197" t="s">
        <v>103</v>
      </c>
      <c r="H38" s="437">
        <f>'прил13(ведом 20-21)'!M191</f>
        <v>30285.5</v>
      </c>
      <c r="I38" s="437">
        <f>'прил13(ведом 20-21)'!N191</f>
        <v>30285.5</v>
      </c>
    </row>
    <row r="39" spans="1:9" ht="37.5">
      <c r="A39" s="423"/>
      <c r="B39" s="436" t="s">
        <v>108</v>
      </c>
      <c r="C39" s="194" t="s">
        <v>92</v>
      </c>
      <c r="D39" s="195" t="s">
        <v>98</v>
      </c>
      <c r="E39" s="195" t="s">
        <v>92</v>
      </c>
      <c r="F39" s="196" t="s">
        <v>376</v>
      </c>
      <c r="G39" s="197" t="s">
        <v>109</v>
      </c>
      <c r="H39" s="437">
        <f>'прил13(ведом 20-21)'!M192</f>
        <v>1765.8</v>
      </c>
      <c r="I39" s="437">
        <f>'прил13(ведом 20-21)'!N192</f>
        <v>1765.8</v>
      </c>
    </row>
    <row r="40" spans="1:9" ht="56.25">
      <c r="A40" s="423"/>
      <c r="B40" s="436" t="s">
        <v>135</v>
      </c>
      <c r="C40" s="194" t="s">
        <v>92</v>
      </c>
      <c r="D40" s="195" t="s">
        <v>98</v>
      </c>
      <c r="E40" s="195" t="s">
        <v>92</v>
      </c>
      <c r="F40" s="196" t="s">
        <v>376</v>
      </c>
      <c r="G40" s="197" t="s">
        <v>136</v>
      </c>
      <c r="H40" s="437">
        <f>'прил13(ведом 20-21)'!M193</f>
        <v>352162.8</v>
      </c>
      <c r="I40" s="437">
        <f>'прил13(ведом 20-21)'!N193</f>
        <v>352162.8</v>
      </c>
    </row>
    <row r="41" spans="1:9" ht="75">
      <c r="A41" s="423"/>
      <c r="B41" s="436" t="s">
        <v>289</v>
      </c>
      <c r="C41" s="553" t="s">
        <v>92</v>
      </c>
      <c r="D41" s="553" t="s">
        <v>98</v>
      </c>
      <c r="E41" s="553" t="s">
        <v>92</v>
      </c>
      <c r="F41" s="554" t="s">
        <v>382</v>
      </c>
      <c r="G41" s="422"/>
      <c r="H41" s="437">
        <f>SUM(H42:H43)</f>
        <v>4326.2</v>
      </c>
      <c r="I41" s="437">
        <f>SUM(I42:I43)</f>
        <v>4401.8</v>
      </c>
    </row>
    <row r="42" spans="1:9" ht="37.5">
      <c r="A42" s="423"/>
      <c r="B42" s="397" t="s">
        <v>108</v>
      </c>
      <c r="C42" s="194" t="s">
        <v>92</v>
      </c>
      <c r="D42" s="195" t="s">
        <v>98</v>
      </c>
      <c r="E42" s="195" t="s">
        <v>92</v>
      </c>
      <c r="F42" s="196" t="s">
        <v>382</v>
      </c>
      <c r="G42" s="197" t="s">
        <v>109</v>
      </c>
      <c r="H42" s="437">
        <f>'прил13(ведом 20-21)'!M195</f>
        <v>239.1</v>
      </c>
      <c r="I42" s="437">
        <f>'прил13(ведом 20-21)'!N195</f>
        <v>256.2</v>
      </c>
    </row>
    <row r="43" spans="1:9" ht="56.25">
      <c r="A43" s="423"/>
      <c r="B43" s="436" t="s">
        <v>135</v>
      </c>
      <c r="C43" s="553" t="s">
        <v>92</v>
      </c>
      <c r="D43" s="553" t="s">
        <v>98</v>
      </c>
      <c r="E43" s="553" t="s">
        <v>92</v>
      </c>
      <c r="F43" s="554" t="s">
        <v>382</v>
      </c>
      <c r="G43" s="422" t="s">
        <v>136</v>
      </c>
      <c r="H43" s="437">
        <f>'прил13(ведом 20-21)'!M196</f>
        <v>4087.1</v>
      </c>
      <c r="I43" s="437">
        <f>'прил13(ведом 20-21)'!N196</f>
        <v>4145.6000000000004</v>
      </c>
    </row>
    <row r="44" spans="1:9" ht="18.75">
      <c r="A44" s="423"/>
      <c r="B44" s="436" t="s">
        <v>290</v>
      </c>
      <c r="C44" s="194" t="s">
        <v>92</v>
      </c>
      <c r="D44" s="195" t="s">
        <v>150</v>
      </c>
      <c r="E44" s="195" t="s">
        <v>96</v>
      </c>
      <c r="F44" s="196" t="s">
        <v>97</v>
      </c>
      <c r="G44" s="422"/>
      <c r="H44" s="437">
        <f>H45</f>
        <v>43264.6</v>
      </c>
      <c r="I44" s="437">
        <f>I45</f>
        <v>41646.799999999996</v>
      </c>
    </row>
    <row r="45" spans="1:9" ht="37.5">
      <c r="A45" s="423"/>
      <c r="B45" s="436" t="s">
        <v>383</v>
      </c>
      <c r="C45" s="194" t="s">
        <v>92</v>
      </c>
      <c r="D45" s="195" t="s">
        <v>150</v>
      </c>
      <c r="E45" s="195" t="s">
        <v>90</v>
      </c>
      <c r="F45" s="196" t="s">
        <v>97</v>
      </c>
      <c r="G45" s="422"/>
      <c r="H45" s="437">
        <f>H46+H53+H51</f>
        <v>43264.6</v>
      </c>
      <c r="I45" s="437">
        <f>I46+I53+I51</f>
        <v>41646.799999999996</v>
      </c>
    </row>
    <row r="46" spans="1:9" ht="75">
      <c r="A46" s="423"/>
      <c r="B46" s="436" t="s">
        <v>151</v>
      </c>
      <c r="C46" s="194" t="s">
        <v>92</v>
      </c>
      <c r="D46" s="195" t="s">
        <v>150</v>
      </c>
      <c r="E46" s="195" t="s">
        <v>90</v>
      </c>
      <c r="F46" s="196" t="s">
        <v>153</v>
      </c>
      <c r="G46" s="197"/>
      <c r="H46" s="437">
        <f>SUM(H47:H50)</f>
        <v>42982.2</v>
      </c>
      <c r="I46" s="437">
        <f>SUM(I47:I50)</f>
        <v>41358.1</v>
      </c>
    </row>
    <row r="47" spans="1:9" ht="93.75">
      <c r="A47" s="423"/>
      <c r="B47" s="397" t="s">
        <v>102</v>
      </c>
      <c r="C47" s="194" t="s">
        <v>92</v>
      </c>
      <c r="D47" s="195" t="s">
        <v>150</v>
      </c>
      <c r="E47" s="195" t="s">
        <v>90</v>
      </c>
      <c r="F47" s="196" t="s">
        <v>153</v>
      </c>
      <c r="G47" s="197" t="s">
        <v>103</v>
      </c>
      <c r="H47" s="437">
        <f>'прил13(ведом 20-21)'!M206</f>
        <v>23223.3</v>
      </c>
      <c r="I47" s="437">
        <f>'прил13(ведом 20-21)'!N206</f>
        <v>23223.3</v>
      </c>
    </row>
    <row r="48" spans="1:9" ht="37.5">
      <c r="A48" s="423"/>
      <c r="B48" s="397" t="s">
        <v>108</v>
      </c>
      <c r="C48" s="194" t="s">
        <v>92</v>
      </c>
      <c r="D48" s="195" t="s">
        <v>150</v>
      </c>
      <c r="E48" s="195" t="s">
        <v>90</v>
      </c>
      <c r="F48" s="196" t="s">
        <v>153</v>
      </c>
      <c r="G48" s="197" t="s">
        <v>109</v>
      </c>
      <c r="H48" s="437">
        <f>'прил13(ведом 20-21)'!M207</f>
        <v>1876.6</v>
      </c>
      <c r="I48" s="437">
        <f>'прил13(ведом 20-21)'!N207</f>
        <v>699.8</v>
      </c>
    </row>
    <row r="49" spans="1:9" ht="56.25">
      <c r="A49" s="423"/>
      <c r="B49" s="436" t="s">
        <v>135</v>
      </c>
      <c r="C49" s="194" t="s">
        <v>92</v>
      </c>
      <c r="D49" s="195" t="s">
        <v>150</v>
      </c>
      <c r="E49" s="195" t="s">
        <v>90</v>
      </c>
      <c r="F49" s="196" t="s">
        <v>153</v>
      </c>
      <c r="G49" s="197" t="s">
        <v>136</v>
      </c>
      <c r="H49" s="437">
        <f>'прил13(ведом 20-21)'!M208</f>
        <v>17822.599999999999</v>
      </c>
      <c r="I49" s="437">
        <f>'прил13(ведом 20-21)'!N208</f>
        <v>17376.099999999999</v>
      </c>
    </row>
    <row r="50" spans="1:9" ht="18.75">
      <c r="A50" s="423"/>
      <c r="B50" s="397" t="s">
        <v>110</v>
      </c>
      <c r="C50" s="194" t="s">
        <v>92</v>
      </c>
      <c r="D50" s="195" t="s">
        <v>150</v>
      </c>
      <c r="E50" s="195" t="s">
        <v>90</v>
      </c>
      <c r="F50" s="196" t="s">
        <v>153</v>
      </c>
      <c r="G50" s="197" t="s">
        <v>111</v>
      </c>
      <c r="H50" s="437">
        <f>'прил13(ведом 20-21)'!M209</f>
        <v>59.7</v>
      </c>
      <c r="I50" s="437">
        <f>'прил13(ведом 20-21)'!N209</f>
        <v>58.9</v>
      </c>
    </row>
    <row r="51" spans="1:9" ht="18.75">
      <c r="A51" s="423"/>
      <c r="B51" s="397" t="s">
        <v>697</v>
      </c>
      <c r="C51" s="194" t="s">
        <v>92</v>
      </c>
      <c r="D51" s="195" t="s">
        <v>150</v>
      </c>
      <c r="E51" s="195" t="s">
        <v>90</v>
      </c>
      <c r="F51" s="196" t="s">
        <v>696</v>
      </c>
      <c r="G51" s="197"/>
      <c r="H51" s="437">
        <f>H52</f>
        <v>125</v>
      </c>
      <c r="I51" s="437">
        <f>I52</f>
        <v>125</v>
      </c>
    </row>
    <row r="52" spans="1:9" ht="93.75">
      <c r="A52" s="423"/>
      <c r="B52" s="397" t="s">
        <v>102</v>
      </c>
      <c r="C52" s="194" t="s">
        <v>92</v>
      </c>
      <c r="D52" s="195" t="s">
        <v>150</v>
      </c>
      <c r="E52" s="195" t="s">
        <v>90</v>
      </c>
      <c r="F52" s="196" t="s">
        <v>696</v>
      </c>
      <c r="G52" s="197" t="s">
        <v>103</v>
      </c>
      <c r="H52" s="437">
        <f>'прил13(ведом 20-21)'!M211</f>
        <v>125</v>
      </c>
      <c r="I52" s="437">
        <f>'прил13(ведом 20-21)'!N211</f>
        <v>125</v>
      </c>
    </row>
    <row r="53" spans="1:9" ht="157.9" customHeight="1">
      <c r="A53" s="423"/>
      <c r="B53" s="436" t="s">
        <v>374</v>
      </c>
      <c r="C53" s="194" t="s">
        <v>92</v>
      </c>
      <c r="D53" s="195" t="s">
        <v>150</v>
      </c>
      <c r="E53" s="195" t="s">
        <v>90</v>
      </c>
      <c r="F53" s="196" t="s">
        <v>375</v>
      </c>
      <c r="G53" s="197"/>
      <c r="H53" s="437">
        <f>H54</f>
        <v>157.4</v>
      </c>
      <c r="I53" s="437">
        <f>I54</f>
        <v>163.69999999999999</v>
      </c>
    </row>
    <row r="54" spans="1:9" ht="93.75">
      <c r="A54" s="423"/>
      <c r="B54" s="397" t="s">
        <v>102</v>
      </c>
      <c r="C54" s="194" t="s">
        <v>92</v>
      </c>
      <c r="D54" s="195" t="s">
        <v>150</v>
      </c>
      <c r="E54" s="195" t="s">
        <v>90</v>
      </c>
      <c r="F54" s="196" t="s">
        <v>375</v>
      </c>
      <c r="G54" s="197" t="s">
        <v>103</v>
      </c>
      <c r="H54" s="437">
        <f>'прил13(ведом 20-21)'!M213</f>
        <v>157.4</v>
      </c>
      <c r="I54" s="437">
        <f>'прил13(ведом 20-21)'!N213</f>
        <v>163.69999999999999</v>
      </c>
    </row>
    <row r="55" spans="1:9" ht="56.25">
      <c r="A55" s="423"/>
      <c r="B55" s="436" t="s">
        <v>292</v>
      </c>
      <c r="C55" s="194" t="s">
        <v>92</v>
      </c>
      <c r="D55" s="195" t="s">
        <v>83</v>
      </c>
      <c r="E55" s="195" t="s">
        <v>96</v>
      </c>
      <c r="F55" s="196" t="s">
        <v>97</v>
      </c>
      <c r="G55" s="422"/>
      <c r="H55" s="437">
        <f>H56+H69</f>
        <v>45376.2</v>
      </c>
      <c r="I55" s="437">
        <f>I56+I69</f>
        <v>44438.899999999994</v>
      </c>
    </row>
    <row r="56" spans="1:9" ht="37.5">
      <c r="A56" s="423"/>
      <c r="B56" s="436" t="s">
        <v>389</v>
      </c>
      <c r="C56" s="194" t="s">
        <v>92</v>
      </c>
      <c r="D56" s="195" t="s">
        <v>83</v>
      </c>
      <c r="E56" s="195" t="s">
        <v>90</v>
      </c>
      <c r="F56" s="196" t="s">
        <v>97</v>
      </c>
      <c r="G56" s="422"/>
      <c r="H56" s="437">
        <f>H57+H61+H67+H64</f>
        <v>41418.6</v>
      </c>
      <c r="I56" s="437">
        <f>I57+I61+I67+I64</f>
        <v>40491.199999999997</v>
      </c>
    </row>
    <row r="57" spans="1:9" ht="37.5">
      <c r="A57" s="423"/>
      <c r="B57" s="436" t="s">
        <v>100</v>
      </c>
      <c r="C57" s="194" t="s">
        <v>92</v>
      </c>
      <c r="D57" s="195" t="s">
        <v>83</v>
      </c>
      <c r="E57" s="195" t="s">
        <v>90</v>
      </c>
      <c r="F57" s="196" t="s">
        <v>101</v>
      </c>
      <c r="G57" s="197"/>
      <c r="H57" s="437">
        <f>SUM(H58:H60)</f>
        <v>8014.5</v>
      </c>
      <c r="I57" s="437">
        <f>SUM(I58:I60)</f>
        <v>7866.5</v>
      </c>
    </row>
    <row r="58" spans="1:9" ht="93.75">
      <c r="A58" s="423"/>
      <c r="B58" s="436" t="s">
        <v>102</v>
      </c>
      <c r="C58" s="194" t="s">
        <v>92</v>
      </c>
      <c r="D58" s="195" t="s">
        <v>83</v>
      </c>
      <c r="E58" s="195" t="s">
        <v>90</v>
      </c>
      <c r="F58" s="196" t="s">
        <v>101</v>
      </c>
      <c r="G58" s="197" t="s">
        <v>103</v>
      </c>
      <c r="H58" s="437">
        <f>'прил13(ведом 20-21)'!M227</f>
        <v>7866.5</v>
      </c>
      <c r="I58" s="437">
        <f>'прил13(ведом 20-21)'!N227</f>
        <v>7866.5</v>
      </c>
    </row>
    <row r="59" spans="1:9" ht="37.5">
      <c r="A59" s="423"/>
      <c r="B59" s="436" t="s">
        <v>108</v>
      </c>
      <c r="C59" s="194" t="s">
        <v>92</v>
      </c>
      <c r="D59" s="195" t="s">
        <v>83</v>
      </c>
      <c r="E59" s="195" t="s">
        <v>90</v>
      </c>
      <c r="F59" s="196" t="s">
        <v>101</v>
      </c>
      <c r="G59" s="197" t="s">
        <v>109</v>
      </c>
      <c r="H59" s="437">
        <f>'прил13(ведом 20-21)'!M228</f>
        <v>133.19999999999999</v>
      </c>
      <c r="I59" s="437">
        <f>'прил13(ведом 20-21)'!N228</f>
        <v>0</v>
      </c>
    </row>
    <row r="60" spans="1:9" ht="18.75">
      <c r="A60" s="423"/>
      <c r="B60" s="436" t="s">
        <v>110</v>
      </c>
      <c r="C60" s="194" t="s">
        <v>92</v>
      </c>
      <c r="D60" s="195" t="s">
        <v>83</v>
      </c>
      <c r="E60" s="195" t="s">
        <v>90</v>
      </c>
      <c r="F60" s="196" t="s">
        <v>101</v>
      </c>
      <c r="G60" s="197" t="s">
        <v>111</v>
      </c>
      <c r="H60" s="437">
        <f>'прил13(ведом 20-21)'!M229</f>
        <v>14.8</v>
      </c>
      <c r="I60" s="437">
        <f>'прил13(ведом 20-21)'!N229</f>
        <v>0</v>
      </c>
    </row>
    <row r="61" spans="1:9" ht="75">
      <c r="A61" s="423"/>
      <c r="B61" s="436" t="s">
        <v>151</v>
      </c>
      <c r="C61" s="194" t="s">
        <v>92</v>
      </c>
      <c r="D61" s="195" t="s">
        <v>83</v>
      </c>
      <c r="E61" s="195" t="s">
        <v>90</v>
      </c>
      <c r="F61" s="196" t="s">
        <v>153</v>
      </c>
      <c r="G61" s="197"/>
      <c r="H61" s="437">
        <f>SUM(H62:H63)</f>
        <v>25568.799999999999</v>
      </c>
      <c r="I61" s="437">
        <f>SUM(I62:I63)</f>
        <v>24789.399999999998</v>
      </c>
    </row>
    <row r="62" spans="1:9" ht="93.75">
      <c r="A62" s="423"/>
      <c r="B62" s="436" t="s">
        <v>102</v>
      </c>
      <c r="C62" s="194" t="s">
        <v>92</v>
      </c>
      <c r="D62" s="195" t="s">
        <v>83</v>
      </c>
      <c r="E62" s="195" t="s">
        <v>90</v>
      </c>
      <c r="F62" s="196" t="s">
        <v>153</v>
      </c>
      <c r="G62" s="197" t="s">
        <v>103</v>
      </c>
      <c r="H62" s="437">
        <f>'прил13(ведом 20-21)'!M231</f>
        <v>24757.3</v>
      </c>
      <c r="I62" s="437">
        <f>'прил13(ведом 20-21)'!N231</f>
        <v>24757.3</v>
      </c>
    </row>
    <row r="63" spans="1:9" ht="37.5">
      <c r="A63" s="423"/>
      <c r="B63" s="436" t="s">
        <v>108</v>
      </c>
      <c r="C63" s="194" t="s">
        <v>92</v>
      </c>
      <c r="D63" s="195" t="s">
        <v>83</v>
      </c>
      <c r="E63" s="195" t="s">
        <v>90</v>
      </c>
      <c r="F63" s="196" t="s">
        <v>153</v>
      </c>
      <c r="G63" s="197" t="s">
        <v>109</v>
      </c>
      <c r="H63" s="437">
        <f>'прил13(ведом 20-21)'!M232</f>
        <v>811.5</v>
      </c>
      <c r="I63" s="437">
        <f>'прил13(ведом 20-21)'!N232</f>
        <v>32.1</v>
      </c>
    </row>
    <row r="64" spans="1:9" ht="112.5">
      <c r="A64" s="423"/>
      <c r="B64" s="397" t="s">
        <v>503</v>
      </c>
      <c r="C64" s="194" t="s">
        <v>92</v>
      </c>
      <c r="D64" s="195" t="s">
        <v>83</v>
      </c>
      <c r="E64" s="195" t="s">
        <v>90</v>
      </c>
      <c r="F64" s="196" t="s">
        <v>376</v>
      </c>
      <c r="G64" s="197"/>
      <c r="H64" s="437">
        <f>SUM(H65:H66)</f>
        <v>5763.2</v>
      </c>
      <c r="I64" s="437">
        <f>SUM(I65:I66)</f>
        <v>5763.2</v>
      </c>
    </row>
    <row r="65" spans="1:9" ht="93.75">
      <c r="A65" s="423"/>
      <c r="B65" s="397" t="s">
        <v>102</v>
      </c>
      <c r="C65" s="194" t="s">
        <v>92</v>
      </c>
      <c r="D65" s="195" t="s">
        <v>83</v>
      </c>
      <c r="E65" s="195" t="s">
        <v>90</v>
      </c>
      <c r="F65" s="196" t="s">
        <v>376</v>
      </c>
      <c r="G65" s="197" t="s">
        <v>103</v>
      </c>
      <c r="H65" s="437">
        <f>'прил13(ведом 20-21)'!M234</f>
        <v>5594.5</v>
      </c>
      <c r="I65" s="437">
        <f>'прил13(ведом 20-21)'!N234</f>
        <v>5594.5</v>
      </c>
    </row>
    <row r="66" spans="1:9" ht="37.5">
      <c r="A66" s="423"/>
      <c r="B66" s="436" t="s">
        <v>108</v>
      </c>
      <c r="C66" s="194" t="s">
        <v>92</v>
      </c>
      <c r="D66" s="195" t="s">
        <v>83</v>
      </c>
      <c r="E66" s="195" t="s">
        <v>90</v>
      </c>
      <c r="F66" s="196" t="s">
        <v>376</v>
      </c>
      <c r="G66" s="197" t="s">
        <v>109</v>
      </c>
      <c r="H66" s="437">
        <f>'прил13(ведом 20-21)'!M235</f>
        <v>168.7</v>
      </c>
      <c r="I66" s="437">
        <f>'прил13(ведом 20-21)'!N235</f>
        <v>168.7</v>
      </c>
    </row>
    <row r="67" spans="1:9" ht="18.75">
      <c r="A67" s="423"/>
      <c r="B67" s="397" t="s">
        <v>810</v>
      </c>
      <c r="C67" s="194" t="s">
        <v>92</v>
      </c>
      <c r="D67" s="195" t="s">
        <v>83</v>
      </c>
      <c r="E67" s="195" t="s">
        <v>90</v>
      </c>
      <c r="F67" s="196" t="s">
        <v>504</v>
      </c>
      <c r="G67" s="197"/>
      <c r="H67" s="437">
        <f>SUM(H68:H68)</f>
        <v>2072.1</v>
      </c>
      <c r="I67" s="437">
        <f>SUM(I68:I68)</f>
        <v>2072.1</v>
      </c>
    </row>
    <row r="68" spans="1:9" ht="56.25">
      <c r="A68" s="423"/>
      <c r="B68" s="436" t="s">
        <v>135</v>
      </c>
      <c r="C68" s="194" t="s">
        <v>92</v>
      </c>
      <c r="D68" s="195" t="s">
        <v>83</v>
      </c>
      <c r="E68" s="195" t="s">
        <v>90</v>
      </c>
      <c r="F68" s="196" t="s">
        <v>504</v>
      </c>
      <c r="G68" s="197" t="s">
        <v>136</v>
      </c>
      <c r="H68" s="437">
        <f>'прил13(ведом 20-21)'!M200</f>
        <v>2072.1</v>
      </c>
      <c r="I68" s="437">
        <f>'прил13(ведом 20-21)'!N200</f>
        <v>2072.1</v>
      </c>
    </row>
    <row r="69" spans="1:9" ht="37.5">
      <c r="A69" s="423"/>
      <c r="B69" s="397" t="s">
        <v>388</v>
      </c>
      <c r="C69" s="194" t="s">
        <v>92</v>
      </c>
      <c r="D69" s="195" t="s">
        <v>83</v>
      </c>
      <c r="E69" s="195" t="s">
        <v>92</v>
      </c>
      <c r="F69" s="196" t="s">
        <v>97</v>
      </c>
      <c r="G69" s="197"/>
      <c r="H69" s="437">
        <f>H70</f>
        <v>3957.6</v>
      </c>
      <c r="I69" s="437">
        <f>I70</f>
        <v>3947.7</v>
      </c>
    </row>
    <row r="70" spans="1:9" ht="37.5">
      <c r="A70" s="423"/>
      <c r="B70" s="436" t="s">
        <v>506</v>
      </c>
      <c r="C70" s="195" t="s">
        <v>92</v>
      </c>
      <c r="D70" s="195" t="s">
        <v>83</v>
      </c>
      <c r="E70" s="195" t="s">
        <v>92</v>
      </c>
      <c r="F70" s="196" t="s">
        <v>640</v>
      </c>
      <c r="G70" s="197"/>
      <c r="H70" s="437">
        <f>H71</f>
        <v>3957.6</v>
      </c>
      <c r="I70" s="437">
        <f>I71</f>
        <v>3947.7</v>
      </c>
    </row>
    <row r="71" spans="1:9" ht="56.25">
      <c r="A71" s="423"/>
      <c r="B71" s="436" t="s">
        <v>135</v>
      </c>
      <c r="C71" s="195" t="s">
        <v>92</v>
      </c>
      <c r="D71" s="195" t="s">
        <v>83</v>
      </c>
      <c r="E71" s="195" t="s">
        <v>92</v>
      </c>
      <c r="F71" s="196" t="s">
        <v>640</v>
      </c>
      <c r="G71" s="197" t="s">
        <v>136</v>
      </c>
      <c r="H71" s="437">
        <f>'прил13(ведом 20-21)'!M221</f>
        <v>3957.6</v>
      </c>
      <c r="I71" s="437">
        <f>'прил13(ведом 20-21)'!N221</f>
        <v>3947.7</v>
      </c>
    </row>
    <row r="72" spans="1:9" ht="18.75">
      <c r="A72" s="423"/>
      <c r="B72" s="440"/>
      <c r="C72" s="611"/>
      <c r="D72" s="452"/>
      <c r="E72" s="452"/>
      <c r="F72" s="612"/>
      <c r="G72" s="422"/>
      <c r="H72" s="437"/>
      <c r="I72" s="437"/>
    </row>
    <row r="73" spans="1:9" s="435" customFormat="1" ht="56.25">
      <c r="A73" s="441">
        <v>2</v>
      </c>
      <c r="B73" s="430" t="s">
        <v>293</v>
      </c>
      <c r="C73" s="431" t="s">
        <v>119</v>
      </c>
      <c r="D73" s="431" t="s">
        <v>95</v>
      </c>
      <c r="E73" s="431" t="s">
        <v>96</v>
      </c>
      <c r="F73" s="432" t="s">
        <v>97</v>
      </c>
      <c r="G73" s="433"/>
      <c r="H73" s="434">
        <f>H74+H90+H86</f>
        <v>77127.400000000009</v>
      </c>
      <c r="I73" s="434">
        <f>I74+I90+I86</f>
        <v>77097.5</v>
      </c>
    </row>
    <row r="74" spans="1:9" s="435" customFormat="1" ht="56.25">
      <c r="A74" s="423"/>
      <c r="B74" s="444" t="s">
        <v>294</v>
      </c>
      <c r="C74" s="194" t="s">
        <v>119</v>
      </c>
      <c r="D74" s="195" t="s">
        <v>98</v>
      </c>
      <c r="E74" s="195" t="s">
        <v>96</v>
      </c>
      <c r="F74" s="196" t="s">
        <v>97</v>
      </c>
      <c r="G74" s="422"/>
      <c r="H74" s="437">
        <f>H75+H78+H83</f>
        <v>69168.100000000006</v>
      </c>
      <c r="I74" s="437">
        <f>I75+I78+I83</f>
        <v>69165.5</v>
      </c>
    </row>
    <row r="75" spans="1:9" s="435" customFormat="1" ht="34.15" customHeight="1">
      <c r="A75" s="423"/>
      <c r="B75" s="444" t="s">
        <v>383</v>
      </c>
      <c r="C75" s="194" t="s">
        <v>119</v>
      </c>
      <c r="D75" s="195" t="s">
        <v>98</v>
      </c>
      <c r="E75" s="195" t="s">
        <v>90</v>
      </c>
      <c r="F75" s="196" t="s">
        <v>97</v>
      </c>
      <c r="G75" s="422"/>
      <c r="H75" s="437">
        <f>H76</f>
        <v>48567.5</v>
      </c>
      <c r="I75" s="437">
        <f>I76</f>
        <v>48567.5</v>
      </c>
    </row>
    <row r="76" spans="1:9" s="435" customFormat="1" ht="75">
      <c r="A76" s="423"/>
      <c r="B76" s="445" t="s">
        <v>454</v>
      </c>
      <c r="C76" s="194" t="s">
        <v>119</v>
      </c>
      <c r="D76" s="195" t="s">
        <v>98</v>
      </c>
      <c r="E76" s="195" t="s">
        <v>90</v>
      </c>
      <c r="F76" s="196" t="s">
        <v>153</v>
      </c>
      <c r="G76" s="197"/>
      <c r="H76" s="437">
        <f>H77</f>
        <v>48567.5</v>
      </c>
      <c r="I76" s="437">
        <f>I77</f>
        <v>48567.5</v>
      </c>
    </row>
    <row r="77" spans="1:9" s="435" customFormat="1" ht="56.25">
      <c r="A77" s="423"/>
      <c r="B77" s="438" t="s">
        <v>135</v>
      </c>
      <c r="C77" s="194" t="s">
        <v>119</v>
      </c>
      <c r="D77" s="195" t="s">
        <v>98</v>
      </c>
      <c r="E77" s="195" t="s">
        <v>90</v>
      </c>
      <c r="F77" s="196" t="s">
        <v>153</v>
      </c>
      <c r="G77" s="197" t="s">
        <v>136</v>
      </c>
      <c r="H77" s="437">
        <f>'прил13(ведом 20-21)'!M252</f>
        <v>48567.5</v>
      </c>
      <c r="I77" s="437">
        <f>'прил13(ведом 20-21)'!N252</f>
        <v>48567.5</v>
      </c>
    </row>
    <row r="78" spans="1:9" s="435" customFormat="1" ht="18.75">
      <c r="A78" s="423"/>
      <c r="B78" s="436" t="s">
        <v>457</v>
      </c>
      <c r="C78" s="448" t="s">
        <v>119</v>
      </c>
      <c r="D78" s="449" t="s">
        <v>98</v>
      </c>
      <c r="E78" s="449" t="s">
        <v>119</v>
      </c>
      <c r="F78" s="450" t="s">
        <v>97</v>
      </c>
      <c r="G78" s="451"/>
      <c r="H78" s="437">
        <f>H79+H81</f>
        <v>10546.4</v>
      </c>
      <c r="I78" s="437">
        <f>I79+I81</f>
        <v>10543.8</v>
      </c>
    </row>
    <row r="79" spans="1:9" s="435" customFormat="1" ht="75">
      <c r="A79" s="423"/>
      <c r="B79" s="445" t="s">
        <v>458</v>
      </c>
      <c r="C79" s="448" t="s">
        <v>119</v>
      </c>
      <c r="D79" s="449" t="s">
        <v>98</v>
      </c>
      <c r="E79" s="449" t="s">
        <v>119</v>
      </c>
      <c r="F79" s="450" t="s">
        <v>153</v>
      </c>
      <c r="G79" s="451"/>
      <c r="H79" s="437">
        <f>H80</f>
        <v>10543.8</v>
      </c>
      <c r="I79" s="437">
        <f>I80</f>
        <v>10543.8</v>
      </c>
    </row>
    <row r="80" spans="1:9" s="435" customFormat="1" ht="56.25">
      <c r="A80" s="423"/>
      <c r="B80" s="438" t="s">
        <v>135</v>
      </c>
      <c r="C80" s="194" t="s">
        <v>119</v>
      </c>
      <c r="D80" s="195" t="s">
        <v>98</v>
      </c>
      <c r="E80" s="195" t="s">
        <v>119</v>
      </c>
      <c r="F80" s="196" t="s">
        <v>153</v>
      </c>
      <c r="G80" s="197" t="s">
        <v>136</v>
      </c>
      <c r="H80" s="437">
        <f>'прил13(ведом 20-21)'!M259</f>
        <v>10543.8</v>
      </c>
      <c r="I80" s="437">
        <f>'прил13(ведом 20-21)'!N259</f>
        <v>10543.8</v>
      </c>
    </row>
    <row r="81" spans="1:9" s="435" customFormat="1" ht="37.5">
      <c r="A81" s="423"/>
      <c r="B81" s="767" t="s">
        <v>455</v>
      </c>
      <c r="C81" s="787" t="s">
        <v>119</v>
      </c>
      <c r="D81" s="788" t="s">
        <v>98</v>
      </c>
      <c r="E81" s="788" t="s">
        <v>119</v>
      </c>
      <c r="F81" s="789" t="s">
        <v>456</v>
      </c>
      <c r="G81" s="746"/>
      <c r="H81" s="747">
        <f>H82</f>
        <v>2.6</v>
      </c>
      <c r="I81" s="747">
        <f>I82</f>
        <v>0</v>
      </c>
    </row>
    <row r="82" spans="1:9" s="435" customFormat="1" ht="56.25">
      <c r="A82" s="423"/>
      <c r="B82" s="767" t="s">
        <v>135</v>
      </c>
      <c r="C82" s="787" t="s">
        <v>119</v>
      </c>
      <c r="D82" s="788" t="s">
        <v>98</v>
      </c>
      <c r="E82" s="788" t="s">
        <v>119</v>
      </c>
      <c r="F82" s="789" t="s">
        <v>456</v>
      </c>
      <c r="G82" s="746" t="s">
        <v>136</v>
      </c>
      <c r="H82" s="747">
        <f>'прил13(ведом 20-21)'!M261</f>
        <v>2.6</v>
      </c>
      <c r="I82" s="747">
        <f>'прил13(ведом 20-21)'!N261</f>
        <v>0</v>
      </c>
    </row>
    <row r="83" spans="1:9" s="435" customFormat="1" ht="37.5">
      <c r="A83" s="423"/>
      <c r="B83" s="438" t="s">
        <v>460</v>
      </c>
      <c r="C83" s="448" t="s">
        <v>119</v>
      </c>
      <c r="D83" s="449" t="s">
        <v>98</v>
      </c>
      <c r="E83" s="449" t="s">
        <v>105</v>
      </c>
      <c r="F83" s="196" t="s">
        <v>97</v>
      </c>
      <c r="G83" s="197"/>
      <c r="H83" s="437">
        <f>H84</f>
        <v>10054.200000000001</v>
      </c>
      <c r="I83" s="437">
        <f>I84</f>
        <v>10054.200000000001</v>
      </c>
    </row>
    <row r="84" spans="1:9" s="435" customFormat="1" ht="75">
      <c r="A84" s="423"/>
      <c r="B84" s="445" t="s">
        <v>458</v>
      </c>
      <c r="C84" s="448" t="s">
        <v>119</v>
      </c>
      <c r="D84" s="449" t="s">
        <v>98</v>
      </c>
      <c r="E84" s="449" t="s">
        <v>105</v>
      </c>
      <c r="F84" s="450" t="s">
        <v>153</v>
      </c>
      <c r="G84" s="451"/>
      <c r="H84" s="437">
        <f>SUM(H85:H85)</f>
        <v>10054.200000000001</v>
      </c>
      <c r="I84" s="437">
        <f>SUM(I85:I85)</f>
        <v>10054.200000000001</v>
      </c>
    </row>
    <row r="85" spans="1:9" s="435" customFormat="1" ht="93.75">
      <c r="A85" s="423"/>
      <c r="B85" s="397" t="s">
        <v>102</v>
      </c>
      <c r="C85" s="194" t="s">
        <v>119</v>
      </c>
      <c r="D85" s="195" t="s">
        <v>98</v>
      </c>
      <c r="E85" s="195" t="s">
        <v>105</v>
      </c>
      <c r="F85" s="196" t="s">
        <v>153</v>
      </c>
      <c r="G85" s="197" t="s">
        <v>103</v>
      </c>
      <c r="H85" s="437">
        <f>'прил13(ведом 20-21)'!M264</f>
        <v>10054.200000000001</v>
      </c>
      <c r="I85" s="437">
        <f>'прил13(ведом 20-21)'!N264</f>
        <v>10054.200000000001</v>
      </c>
    </row>
    <row r="86" spans="1:9" s="435" customFormat="1" ht="37.5">
      <c r="A86" s="423"/>
      <c r="B86" s="436" t="s">
        <v>468</v>
      </c>
      <c r="C86" s="448" t="s">
        <v>119</v>
      </c>
      <c r="D86" s="449" t="s">
        <v>150</v>
      </c>
      <c r="E86" s="449" t="s">
        <v>96</v>
      </c>
      <c r="F86" s="196" t="s">
        <v>97</v>
      </c>
      <c r="G86" s="451"/>
      <c r="H86" s="437">
        <f t="shared" ref="H86:I88" si="0">H87</f>
        <v>2.1</v>
      </c>
      <c r="I86" s="437">
        <f t="shared" si="0"/>
        <v>0</v>
      </c>
    </row>
    <row r="87" spans="1:9" s="435" customFormat="1" ht="93.75">
      <c r="A87" s="423"/>
      <c r="B87" s="438" t="s">
        <v>461</v>
      </c>
      <c r="C87" s="448" t="s">
        <v>119</v>
      </c>
      <c r="D87" s="449" t="s">
        <v>150</v>
      </c>
      <c r="E87" s="449" t="s">
        <v>119</v>
      </c>
      <c r="F87" s="196" t="s">
        <v>97</v>
      </c>
      <c r="G87" s="451"/>
      <c r="H87" s="437">
        <f t="shared" si="0"/>
        <v>2.1</v>
      </c>
      <c r="I87" s="437">
        <f t="shared" si="0"/>
        <v>0</v>
      </c>
    </row>
    <row r="88" spans="1:9" s="435" customFormat="1" ht="37.5">
      <c r="A88" s="423"/>
      <c r="B88" s="438" t="s">
        <v>455</v>
      </c>
      <c r="C88" s="448" t="s">
        <v>119</v>
      </c>
      <c r="D88" s="449" t="s">
        <v>150</v>
      </c>
      <c r="E88" s="449" t="s">
        <v>119</v>
      </c>
      <c r="F88" s="450" t="s">
        <v>456</v>
      </c>
      <c r="G88" s="422"/>
      <c r="H88" s="437">
        <f t="shared" si="0"/>
        <v>2.1</v>
      </c>
      <c r="I88" s="437">
        <f t="shared" si="0"/>
        <v>0</v>
      </c>
    </row>
    <row r="89" spans="1:9" s="435" customFormat="1" ht="56.25">
      <c r="A89" s="423"/>
      <c r="B89" s="438" t="s">
        <v>135</v>
      </c>
      <c r="C89" s="194" t="s">
        <v>119</v>
      </c>
      <c r="D89" s="195" t="s">
        <v>150</v>
      </c>
      <c r="E89" s="195" t="s">
        <v>119</v>
      </c>
      <c r="F89" s="196" t="s">
        <v>456</v>
      </c>
      <c r="G89" s="197" t="s">
        <v>136</v>
      </c>
      <c r="H89" s="437">
        <f>'прил13(ведом 20-21)'!M268</f>
        <v>2.1</v>
      </c>
      <c r="I89" s="437">
        <f>'прил13(ведом 20-21)'!N268</f>
        <v>0</v>
      </c>
    </row>
    <row r="90" spans="1:9" s="435" customFormat="1" ht="56.25">
      <c r="A90" s="423"/>
      <c r="B90" s="436" t="s">
        <v>296</v>
      </c>
      <c r="C90" s="194" t="s">
        <v>119</v>
      </c>
      <c r="D90" s="195" t="s">
        <v>83</v>
      </c>
      <c r="E90" s="195" t="s">
        <v>96</v>
      </c>
      <c r="F90" s="196" t="s">
        <v>97</v>
      </c>
      <c r="G90" s="422"/>
      <c r="H90" s="437">
        <f>H91</f>
        <v>7957.2</v>
      </c>
      <c r="I90" s="437">
        <f>I91</f>
        <v>7932</v>
      </c>
    </row>
    <row r="91" spans="1:9" s="435" customFormat="1" ht="37.5">
      <c r="A91" s="423"/>
      <c r="B91" s="436" t="s">
        <v>389</v>
      </c>
      <c r="C91" s="194" t="s">
        <v>119</v>
      </c>
      <c r="D91" s="195" t="s">
        <v>83</v>
      </c>
      <c r="E91" s="195" t="s">
        <v>90</v>
      </c>
      <c r="F91" s="196" t="s">
        <v>97</v>
      </c>
      <c r="G91" s="197"/>
      <c r="H91" s="437">
        <f>H92+H95</f>
        <v>7957.2</v>
      </c>
      <c r="I91" s="437">
        <f>I92+I95</f>
        <v>7932</v>
      </c>
    </row>
    <row r="92" spans="1:9" ht="37.5">
      <c r="A92" s="423"/>
      <c r="B92" s="436" t="s">
        <v>100</v>
      </c>
      <c r="C92" s="194" t="s">
        <v>119</v>
      </c>
      <c r="D92" s="195" t="s">
        <v>83</v>
      </c>
      <c r="E92" s="195" t="s">
        <v>90</v>
      </c>
      <c r="F92" s="196" t="s">
        <v>101</v>
      </c>
      <c r="G92" s="451"/>
      <c r="H92" s="437">
        <f>SUM(H93:H94)</f>
        <v>2438.3999999999996</v>
      </c>
      <c r="I92" s="437">
        <f>SUM(I93:I94)</f>
        <v>2413.1999999999998</v>
      </c>
    </row>
    <row r="93" spans="1:9" ht="93.75">
      <c r="A93" s="423"/>
      <c r="B93" s="436" t="s">
        <v>102</v>
      </c>
      <c r="C93" s="194" t="s">
        <v>119</v>
      </c>
      <c r="D93" s="195" t="s">
        <v>83</v>
      </c>
      <c r="E93" s="195" t="s">
        <v>90</v>
      </c>
      <c r="F93" s="196" t="s">
        <v>101</v>
      </c>
      <c r="G93" s="451" t="s">
        <v>103</v>
      </c>
      <c r="H93" s="437">
        <f>'прил13(ведом 20-21)'!M274</f>
        <v>2413.1999999999998</v>
      </c>
      <c r="I93" s="437">
        <f>'прил13(ведом 20-21)'!N274</f>
        <v>2413.1999999999998</v>
      </c>
    </row>
    <row r="94" spans="1:9" ht="37.5">
      <c r="A94" s="423"/>
      <c r="B94" s="436" t="s">
        <v>108</v>
      </c>
      <c r="C94" s="194" t="s">
        <v>119</v>
      </c>
      <c r="D94" s="195" t="s">
        <v>83</v>
      </c>
      <c r="E94" s="195" t="s">
        <v>90</v>
      </c>
      <c r="F94" s="196" t="s">
        <v>101</v>
      </c>
      <c r="G94" s="451" t="s">
        <v>109</v>
      </c>
      <c r="H94" s="437">
        <f>'прил13(ведом 20-21)'!M275</f>
        <v>25.2</v>
      </c>
      <c r="I94" s="437">
        <f>'прил13(ведом 20-21)'!N275</f>
        <v>0</v>
      </c>
    </row>
    <row r="95" spans="1:9" ht="75">
      <c r="A95" s="423"/>
      <c r="B95" s="445" t="s">
        <v>458</v>
      </c>
      <c r="C95" s="194" t="s">
        <v>119</v>
      </c>
      <c r="D95" s="195" t="s">
        <v>83</v>
      </c>
      <c r="E95" s="195" t="s">
        <v>90</v>
      </c>
      <c r="F95" s="196" t="s">
        <v>153</v>
      </c>
      <c r="G95" s="197"/>
      <c r="H95" s="437">
        <f>SUM(H96:H96)</f>
        <v>5518.8</v>
      </c>
      <c r="I95" s="437">
        <f>SUM(I96:I96)</f>
        <v>5518.8</v>
      </c>
    </row>
    <row r="96" spans="1:9" ht="93.75">
      <c r="A96" s="423"/>
      <c r="B96" s="436" t="s">
        <v>102</v>
      </c>
      <c r="C96" s="194" t="s">
        <v>119</v>
      </c>
      <c r="D96" s="195" t="s">
        <v>83</v>
      </c>
      <c r="E96" s="195" t="s">
        <v>90</v>
      </c>
      <c r="F96" s="196" t="s">
        <v>153</v>
      </c>
      <c r="G96" s="451" t="s">
        <v>103</v>
      </c>
      <c r="H96" s="437">
        <f>'прил13(ведом 20-21)'!M277</f>
        <v>5518.8</v>
      </c>
      <c r="I96" s="437">
        <f>'прил13(ведом 20-21)'!N277</f>
        <v>5518.8</v>
      </c>
    </row>
    <row r="97" spans="1:9" ht="18.75">
      <c r="A97" s="423"/>
      <c r="B97" s="440"/>
      <c r="C97" s="553"/>
      <c r="D97" s="553"/>
      <c r="E97" s="453"/>
      <c r="F97" s="454"/>
      <c r="G97" s="422"/>
      <c r="H97" s="437"/>
      <c r="I97" s="437"/>
    </row>
    <row r="98" spans="1:9" s="435" customFormat="1" ht="56.25">
      <c r="A98" s="441">
        <v>3</v>
      </c>
      <c r="B98" s="455" t="s">
        <v>297</v>
      </c>
      <c r="C98" s="442" t="s">
        <v>105</v>
      </c>
      <c r="D98" s="442" t="s">
        <v>95</v>
      </c>
      <c r="E98" s="442" t="s">
        <v>96</v>
      </c>
      <c r="F98" s="443" t="s">
        <v>97</v>
      </c>
      <c r="G98" s="433"/>
      <c r="H98" s="773">
        <f>H99+H112</f>
        <v>36478.631000000001</v>
      </c>
      <c r="I98" s="434">
        <f>I99</f>
        <v>27558</v>
      </c>
    </row>
    <row r="99" spans="1:9" ht="37.5">
      <c r="A99" s="423"/>
      <c r="B99" s="436" t="s">
        <v>300</v>
      </c>
      <c r="C99" s="194" t="s">
        <v>105</v>
      </c>
      <c r="D99" s="195" t="s">
        <v>150</v>
      </c>
      <c r="E99" s="195" t="s">
        <v>96</v>
      </c>
      <c r="F99" s="196" t="s">
        <v>97</v>
      </c>
      <c r="G99" s="422"/>
      <c r="H99" s="437">
        <f>H100+H105</f>
        <v>32013.200000000001</v>
      </c>
      <c r="I99" s="437">
        <f>I100+I105</f>
        <v>27558</v>
      </c>
    </row>
    <row r="100" spans="1:9" ht="37.5">
      <c r="A100" s="423"/>
      <c r="B100" s="436" t="s">
        <v>389</v>
      </c>
      <c r="C100" s="194" t="s">
        <v>105</v>
      </c>
      <c r="D100" s="195" t="s">
        <v>150</v>
      </c>
      <c r="E100" s="195" t="s">
        <v>90</v>
      </c>
      <c r="F100" s="196" t="s">
        <v>97</v>
      </c>
      <c r="G100" s="197"/>
      <c r="H100" s="437">
        <f>H101</f>
        <v>2282.9999999999995</v>
      </c>
      <c r="I100" s="437">
        <f>I101</f>
        <v>2262.1</v>
      </c>
    </row>
    <row r="101" spans="1:9" ht="37.5">
      <c r="A101" s="423"/>
      <c r="B101" s="436" t="s">
        <v>100</v>
      </c>
      <c r="C101" s="194" t="s">
        <v>105</v>
      </c>
      <c r="D101" s="195" t="s">
        <v>150</v>
      </c>
      <c r="E101" s="195" t="s">
        <v>90</v>
      </c>
      <c r="F101" s="196" t="s">
        <v>101</v>
      </c>
      <c r="G101" s="197"/>
      <c r="H101" s="437">
        <f>SUM(H102:H104)</f>
        <v>2282.9999999999995</v>
      </c>
      <c r="I101" s="437">
        <f>SUM(I102:I104)</f>
        <v>2262.1</v>
      </c>
    </row>
    <row r="102" spans="1:9" ht="93.75">
      <c r="A102" s="423"/>
      <c r="B102" s="436" t="s">
        <v>102</v>
      </c>
      <c r="C102" s="194" t="s">
        <v>105</v>
      </c>
      <c r="D102" s="195" t="s">
        <v>150</v>
      </c>
      <c r="E102" s="195" t="s">
        <v>90</v>
      </c>
      <c r="F102" s="196" t="s">
        <v>101</v>
      </c>
      <c r="G102" s="197" t="s">
        <v>103</v>
      </c>
      <c r="H102" s="437">
        <f>'прил13(ведом 20-21)'!M300</f>
        <v>2262.1</v>
      </c>
      <c r="I102" s="437">
        <f>'прил13(ведом 20-21)'!N300</f>
        <v>2262.1</v>
      </c>
    </row>
    <row r="103" spans="1:9" ht="37.5">
      <c r="A103" s="423"/>
      <c r="B103" s="397" t="s">
        <v>108</v>
      </c>
      <c r="C103" s="194" t="s">
        <v>105</v>
      </c>
      <c r="D103" s="195" t="s">
        <v>150</v>
      </c>
      <c r="E103" s="195" t="s">
        <v>90</v>
      </c>
      <c r="F103" s="196" t="s">
        <v>101</v>
      </c>
      <c r="G103" s="197" t="s">
        <v>109</v>
      </c>
      <c r="H103" s="437">
        <f>'прил13(ведом 20-21)'!M301</f>
        <v>18.7</v>
      </c>
      <c r="I103" s="437">
        <f>'прил13(ведом 20-21)'!N301</f>
        <v>0</v>
      </c>
    </row>
    <row r="104" spans="1:9" ht="18.75">
      <c r="A104" s="423"/>
      <c r="B104" s="397" t="s">
        <v>110</v>
      </c>
      <c r="C104" s="194" t="s">
        <v>105</v>
      </c>
      <c r="D104" s="195" t="s">
        <v>150</v>
      </c>
      <c r="E104" s="195" t="s">
        <v>90</v>
      </c>
      <c r="F104" s="196" t="s">
        <v>101</v>
      </c>
      <c r="G104" s="197" t="s">
        <v>111</v>
      </c>
      <c r="H104" s="437">
        <f>'прил13(ведом 20-21)'!M302</f>
        <v>2.2000000000000002</v>
      </c>
      <c r="I104" s="437">
        <f>'прил13(ведом 20-21)'!N302</f>
        <v>0</v>
      </c>
    </row>
    <row r="105" spans="1:9" ht="18.75">
      <c r="A105" s="423"/>
      <c r="B105" s="436" t="s">
        <v>541</v>
      </c>
      <c r="C105" s="194" t="s">
        <v>105</v>
      </c>
      <c r="D105" s="195" t="s">
        <v>150</v>
      </c>
      <c r="E105" s="195" t="s">
        <v>92</v>
      </c>
      <c r="F105" s="196" t="s">
        <v>97</v>
      </c>
      <c r="G105" s="197"/>
      <c r="H105" s="437">
        <f>H106+H110</f>
        <v>29730.2</v>
      </c>
      <c r="I105" s="437">
        <f>I106+I110</f>
        <v>25295.9</v>
      </c>
    </row>
    <row r="106" spans="1:9" ht="75">
      <c r="A106" s="423"/>
      <c r="B106" s="436" t="s">
        <v>151</v>
      </c>
      <c r="C106" s="194" t="s">
        <v>105</v>
      </c>
      <c r="D106" s="195" t="s">
        <v>150</v>
      </c>
      <c r="E106" s="195" t="s">
        <v>92</v>
      </c>
      <c r="F106" s="196" t="s">
        <v>153</v>
      </c>
      <c r="G106" s="197"/>
      <c r="H106" s="437">
        <f>SUM(H107:H109)</f>
        <v>29688.5</v>
      </c>
      <c r="I106" s="437">
        <f>SUM(I107:I109)</f>
        <v>25254.2</v>
      </c>
    </row>
    <row r="107" spans="1:9" ht="93.75">
      <c r="A107" s="423"/>
      <c r="B107" s="436" t="s">
        <v>102</v>
      </c>
      <c r="C107" s="194" t="s">
        <v>105</v>
      </c>
      <c r="D107" s="195" t="s">
        <v>150</v>
      </c>
      <c r="E107" s="195" t="s">
        <v>92</v>
      </c>
      <c r="F107" s="196" t="s">
        <v>153</v>
      </c>
      <c r="G107" s="197" t="s">
        <v>103</v>
      </c>
      <c r="H107" s="437">
        <f>'прил13(ведом 20-21)'!M286</f>
        <v>20730.2</v>
      </c>
      <c r="I107" s="437">
        <f>'прил13(ведом 20-21)'!N286</f>
        <v>20730.2</v>
      </c>
    </row>
    <row r="108" spans="1:9" ht="37.5">
      <c r="A108" s="423"/>
      <c r="B108" s="436" t="s">
        <v>108</v>
      </c>
      <c r="C108" s="194" t="s">
        <v>105</v>
      </c>
      <c r="D108" s="195" t="s">
        <v>150</v>
      </c>
      <c r="E108" s="195" t="s">
        <v>92</v>
      </c>
      <c r="F108" s="196" t="s">
        <v>153</v>
      </c>
      <c r="G108" s="197" t="s">
        <v>109</v>
      </c>
      <c r="H108" s="437">
        <f>'прил13(ведом 20-21)'!M287</f>
        <v>5658.3</v>
      </c>
      <c r="I108" s="437">
        <f>'прил13(ведом 20-21)'!N287</f>
        <v>4524</v>
      </c>
    </row>
    <row r="109" spans="1:9" ht="18.75">
      <c r="A109" s="423"/>
      <c r="B109" s="436" t="s">
        <v>110</v>
      </c>
      <c r="C109" s="194" t="s">
        <v>105</v>
      </c>
      <c r="D109" s="195" t="s">
        <v>150</v>
      </c>
      <c r="E109" s="195" t="s">
        <v>92</v>
      </c>
      <c r="F109" s="196" t="s">
        <v>153</v>
      </c>
      <c r="G109" s="197" t="s">
        <v>111</v>
      </c>
      <c r="H109" s="437">
        <f>'прил13(ведом 20-21)'!M288</f>
        <v>3300</v>
      </c>
      <c r="I109" s="437">
        <f>'прил13(ведом 20-21)'!N288</f>
        <v>0</v>
      </c>
    </row>
    <row r="110" spans="1:9" ht="56.25">
      <c r="A110" s="423"/>
      <c r="B110" s="791" t="s">
        <v>299</v>
      </c>
      <c r="C110" s="787" t="s">
        <v>105</v>
      </c>
      <c r="D110" s="788" t="s">
        <v>150</v>
      </c>
      <c r="E110" s="788" t="s">
        <v>92</v>
      </c>
      <c r="F110" s="789" t="s">
        <v>400</v>
      </c>
      <c r="G110" s="746"/>
      <c r="H110" s="747">
        <f>H111</f>
        <v>41.7</v>
      </c>
      <c r="I110" s="747">
        <f>I111</f>
        <v>41.7</v>
      </c>
    </row>
    <row r="111" spans="1:9" ht="37.5">
      <c r="A111" s="423"/>
      <c r="B111" s="791" t="s">
        <v>108</v>
      </c>
      <c r="C111" s="787" t="s">
        <v>105</v>
      </c>
      <c r="D111" s="788" t="s">
        <v>150</v>
      </c>
      <c r="E111" s="788" t="s">
        <v>92</v>
      </c>
      <c r="F111" s="789" t="s">
        <v>400</v>
      </c>
      <c r="G111" s="746" t="s">
        <v>109</v>
      </c>
      <c r="H111" s="747">
        <f>'прил13(ведом 20-21)'!M290</f>
        <v>41.7</v>
      </c>
      <c r="I111" s="747">
        <f>'прил13(ведом 20-21)'!N290</f>
        <v>41.7</v>
      </c>
    </row>
    <row r="112" spans="1:9" ht="37.5">
      <c r="A112" s="423"/>
      <c r="B112" s="748" t="s">
        <v>491</v>
      </c>
      <c r="C112" s="744" t="s">
        <v>105</v>
      </c>
      <c r="D112" s="745" t="s">
        <v>84</v>
      </c>
      <c r="E112" s="745" t="s">
        <v>96</v>
      </c>
      <c r="F112" s="768" t="s">
        <v>97</v>
      </c>
      <c r="G112" s="746"/>
      <c r="H112" s="747">
        <f>H113</f>
        <v>4465.4309999999996</v>
      </c>
      <c r="I112" s="747">
        <f>I113</f>
        <v>0</v>
      </c>
    </row>
    <row r="113" spans="1:9" ht="56.25">
      <c r="A113" s="423"/>
      <c r="B113" s="748" t="s">
        <v>836</v>
      </c>
      <c r="C113" s="744" t="s">
        <v>105</v>
      </c>
      <c r="D113" s="745" t="s">
        <v>84</v>
      </c>
      <c r="E113" s="745" t="s">
        <v>119</v>
      </c>
      <c r="F113" s="768" t="s">
        <v>97</v>
      </c>
      <c r="G113" s="746"/>
      <c r="H113" s="747">
        <f>H114</f>
        <v>4465.4309999999996</v>
      </c>
      <c r="I113" s="747">
        <v>0</v>
      </c>
    </row>
    <row r="114" spans="1:9" ht="56.25">
      <c r="A114" s="423"/>
      <c r="B114" s="748" t="s">
        <v>299</v>
      </c>
      <c r="C114" s="744" t="s">
        <v>105</v>
      </c>
      <c r="D114" s="745" t="s">
        <v>84</v>
      </c>
      <c r="E114" s="745" t="s">
        <v>119</v>
      </c>
      <c r="F114" s="768" t="s">
        <v>400</v>
      </c>
      <c r="G114" s="746"/>
      <c r="H114" s="747">
        <f>H115</f>
        <v>4465.4309999999996</v>
      </c>
      <c r="I114" s="747">
        <v>0</v>
      </c>
    </row>
    <row r="115" spans="1:9" ht="37.5">
      <c r="A115" s="423"/>
      <c r="B115" s="748" t="s">
        <v>282</v>
      </c>
      <c r="C115" s="744" t="s">
        <v>105</v>
      </c>
      <c r="D115" s="745" t="s">
        <v>84</v>
      </c>
      <c r="E115" s="745" t="s">
        <v>119</v>
      </c>
      <c r="F115" s="768" t="s">
        <v>400</v>
      </c>
      <c r="G115" s="746" t="s">
        <v>283</v>
      </c>
      <c r="H115" s="747">
        <f>'прил13(ведом 20-21)'!M294</f>
        <v>4465.4309999999996</v>
      </c>
      <c r="I115" s="747">
        <v>0</v>
      </c>
    </row>
    <row r="116" spans="1:9" ht="18.75">
      <c r="A116" s="423"/>
      <c r="B116" s="440"/>
      <c r="C116" s="552"/>
      <c r="D116" s="553"/>
      <c r="E116" s="553"/>
      <c r="F116" s="554"/>
      <c r="G116" s="422"/>
      <c r="H116" s="437"/>
      <c r="I116" s="437"/>
    </row>
    <row r="117" spans="1:9" s="435" customFormat="1" ht="56.25">
      <c r="A117" s="441">
        <v>4</v>
      </c>
      <c r="B117" s="430" t="s">
        <v>301</v>
      </c>
      <c r="C117" s="431" t="s">
        <v>121</v>
      </c>
      <c r="D117" s="431" t="s">
        <v>95</v>
      </c>
      <c r="E117" s="431" t="s">
        <v>96</v>
      </c>
      <c r="F117" s="432" t="s">
        <v>97</v>
      </c>
      <c r="G117" s="433"/>
      <c r="H117" s="434">
        <f>H118+H123</f>
        <v>4804.3999999999996</v>
      </c>
      <c r="I117" s="434">
        <f>I118+I123</f>
        <v>4687</v>
      </c>
    </row>
    <row r="118" spans="1:9" s="435" customFormat="1" ht="18.75">
      <c r="A118" s="423"/>
      <c r="B118" s="436" t="s">
        <v>302</v>
      </c>
      <c r="C118" s="194" t="s">
        <v>121</v>
      </c>
      <c r="D118" s="195" t="s">
        <v>98</v>
      </c>
      <c r="E118" s="195" t="s">
        <v>96</v>
      </c>
      <c r="F118" s="196" t="s">
        <v>97</v>
      </c>
      <c r="G118" s="422"/>
      <c r="H118" s="437">
        <f t="shared" ref="H118:I119" si="1">H119</f>
        <v>2153.5</v>
      </c>
      <c r="I118" s="437">
        <f t="shared" si="1"/>
        <v>2153.5</v>
      </c>
    </row>
    <row r="119" spans="1:9" s="435" customFormat="1" ht="75">
      <c r="A119" s="423"/>
      <c r="B119" s="436" t="s">
        <v>395</v>
      </c>
      <c r="C119" s="194" t="s">
        <v>121</v>
      </c>
      <c r="D119" s="195" t="s">
        <v>98</v>
      </c>
      <c r="E119" s="195" t="s">
        <v>90</v>
      </c>
      <c r="F119" s="196" t="s">
        <v>97</v>
      </c>
      <c r="G119" s="197"/>
      <c r="H119" s="437">
        <f t="shared" si="1"/>
        <v>2153.5</v>
      </c>
      <c r="I119" s="437">
        <f t="shared" si="1"/>
        <v>2153.5</v>
      </c>
    </row>
    <row r="120" spans="1:9" ht="75">
      <c r="A120" s="423"/>
      <c r="B120" s="436" t="s">
        <v>151</v>
      </c>
      <c r="C120" s="194" t="s">
        <v>121</v>
      </c>
      <c r="D120" s="195" t="s">
        <v>98</v>
      </c>
      <c r="E120" s="195" t="s">
        <v>90</v>
      </c>
      <c r="F120" s="196" t="s">
        <v>153</v>
      </c>
      <c r="G120" s="197"/>
      <c r="H120" s="437">
        <f>SUM(H121:H122)</f>
        <v>2153.5</v>
      </c>
      <c r="I120" s="437">
        <f>SUM(I121:I122)</f>
        <v>2153.5</v>
      </c>
    </row>
    <row r="121" spans="1:9" ht="93.75">
      <c r="A121" s="423"/>
      <c r="B121" s="436" t="s">
        <v>102</v>
      </c>
      <c r="C121" s="194" t="s">
        <v>121</v>
      </c>
      <c r="D121" s="195" t="s">
        <v>98</v>
      </c>
      <c r="E121" s="195" t="s">
        <v>90</v>
      </c>
      <c r="F121" s="196" t="s">
        <v>153</v>
      </c>
      <c r="G121" s="197" t="s">
        <v>103</v>
      </c>
      <c r="H121" s="437">
        <f>'прил13(ведом 20-21)'!M311</f>
        <v>2114.5</v>
      </c>
      <c r="I121" s="437">
        <f>'прил13(ведом 20-21)'!N311</f>
        <v>2114.5</v>
      </c>
    </row>
    <row r="122" spans="1:9" ht="37.5">
      <c r="A122" s="423"/>
      <c r="B122" s="397" t="s">
        <v>108</v>
      </c>
      <c r="C122" s="194" t="s">
        <v>121</v>
      </c>
      <c r="D122" s="195" t="s">
        <v>98</v>
      </c>
      <c r="E122" s="195" t="s">
        <v>90</v>
      </c>
      <c r="F122" s="196" t="s">
        <v>153</v>
      </c>
      <c r="G122" s="197" t="s">
        <v>109</v>
      </c>
      <c r="H122" s="437">
        <f>'прил13(ведом 20-21)'!M312</f>
        <v>39</v>
      </c>
      <c r="I122" s="437">
        <f>'прил13(ведом 20-21)'!N312</f>
        <v>39</v>
      </c>
    </row>
    <row r="123" spans="1:9" s="435" customFormat="1" ht="37.5">
      <c r="A123" s="423"/>
      <c r="B123" s="436" t="s">
        <v>300</v>
      </c>
      <c r="C123" s="194" t="s">
        <v>121</v>
      </c>
      <c r="D123" s="195" t="s">
        <v>150</v>
      </c>
      <c r="E123" s="195" t="s">
        <v>96</v>
      </c>
      <c r="F123" s="196" t="s">
        <v>97</v>
      </c>
      <c r="G123" s="197"/>
      <c r="H123" s="437">
        <f>H124</f>
        <v>2650.9</v>
      </c>
      <c r="I123" s="437">
        <f>I124</f>
        <v>2533.5</v>
      </c>
    </row>
    <row r="124" spans="1:9" s="435" customFormat="1" ht="37.5">
      <c r="A124" s="423"/>
      <c r="B124" s="436" t="s">
        <v>389</v>
      </c>
      <c r="C124" s="194" t="s">
        <v>121</v>
      </c>
      <c r="D124" s="195" t="s">
        <v>150</v>
      </c>
      <c r="E124" s="195" t="s">
        <v>90</v>
      </c>
      <c r="F124" s="196" t="s">
        <v>97</v>
      </c>
      <c r="G124" s="197"/>
      <c r="H124" s="437">
        <f>H125</f>
        <v>2650.9</v>
      </c>
      <c r="I124" s="437">
        <f>I125</f>
        <v>2533.5</v>
      </c>
    </row>
    <row r="125" spans="1:9" s="435" customFormat="1" ht="37.5">
      <c r="A125" s="423"/>
      <c r="B125" s="436" t="s">
        <v>100</v>
      </c>
      <c r="C125" s="194" t="s">
        <v>121</v>
      </c>
      <c r="D125" s="195" t="s">
        <v>150</v>
      </c>
      <c r="E125" s="195" t="s">
        <v>90</v>
      </c>
      <c r="F125" s="196" t="s">
        <v>101</v>
      </c>
      <c r="G125" s="197"/>
      <c r="H125" s="437">
        <f>SUM(H126:H128)</f>
        <v>2650.9</v>
      </c>
      <c r="I125" s="437">
        <f>SUM(I126:I128)</f>
        <v>2533.5</v>
      </c>
    </row>
    <row r="126" spans="1:9" s="435" customFormat="1" ht="93.75">
      <c r="A126" s="423"/>
      <c r="B126" s="436" t="s">
        <v>102</v>
      </c>
      <c r="C126" s="194" t="s">
        <v>121</v>
      </c>
      <c r="D126" s="195" t="s">
        <v>150</v>
      </c>
      <c r="E126" s="195" t="s">
        <v>90</v>
      </c>
      <c r="F126" s="196" t="s">
        <v>101</v>
      </c>
      <c r="G126" s="197" t="s">
        <v>103</v>
      </c>
      <c r="H126" s="437">
        <f>'прил13(ведом 20-21)'!M318</f>
        <v>2533.5</v>
      </c>
      <c r="I126" s="437">
        <f>'прил13(ведом 20-21)'!N318</f>
        <v>2533.5</v>
      </c>
    </row>
    <row r="127" spans="1:9" ht="37.5">
      <c r="A127" s="423"/>
      <c r="B127" s="436" t="s">
        <v>108</v>
      </c>
      <c r="C127" s="194" t="s">
        <v>121</v>
      </c>
      <c r="D127" s="195" t="s">
        <v>150</v>
      </c>
      <c r="E127" s="195" t="s">
        <v>90</v>
      </c>
      <c r="F127" s="196" t="s">
        <v>101</v>
      </c>
      <c r="G127" s="197" t="s">
        <v>109</v>
      </c>
      <c r="H127" s="437">
        <f>'прил13(ведом 20-21)'!M319</f>
        <v>117.1</v>
      </c>
      <c r="I127" s="437">
        <f>'прил13(ведом 20-21)'!N319</f>
        <v>0</v>
      </c>
    </row>
    <row r="128" spans="1:9" ht="18.75">
      <c r="A128" s="423"/>
      <c r="B128" s="436" t="s">
        <v>110</v>
      </c>
      <c r="C128" s="194" t="s">
        <v>121</v>
      </c>
      <c r="D128" s="195" t="s">
        <v>150</v>
      </c>
      <c r="E128" s="195" t="s">
        <v>90</v>
      </c>
      <c r="F128" s="196" t="s">
        <v>101</v>
      </c>
      <c r="G128" s="197" t="s">
        <v>111</v>
      </c>
      <c r="H128" s="437">
        <f>'прил13(ведом 20-21)'!M320</f>
        <v>0.3</v>
      </c>
      <c r="I128" s="437">
        <f>'прил13(ведом 20-21)'!N320</f>
        <v>0</v>
      </c>
    </row>
    <row r="129" spans="1:9" ht="18.75">
      <c r="A129" s="423"/>
      <c r="B129" s="440"/>
      <c r="C129" s="553"/>
      <c r="D129" s="553"/>
      <c r="E129" s="453"/>
      <c r="F129" s="454"/>
      <c r="G129" s="422"/>
      <c r="H129" s="437"/>
      <c r="I129" s="437"/>
    </row>
    <row r="130" spans="1:9" s="435" customFormat="1" ht="56.25">
      <c r="A130" s="441">
        <v>5</v>
      </c>
      <c r="B130" s="430" t="s">
        <v>140</v>
      </c>
      <c r="C130" s="442" t="s">
        <v>141</v>
      </c>
      <c r="D130" s="442" t="s">
        <v>95</v>
      </c>
      <c r="E130" s="442" t="s">
        <v>96</v>
      </c>
      <c r="F130" s="443" t="s">
        <v>97</v>
      </c>
      <c r="G130" s="433"/>
      <c r="H130" s="434">
        <f>H139+H131+H135</f>
        <v>9040.2000000000007</v>
      </c>
      <c r="I130" s="434">
        <f>I139+I131+I135</f>
        <v>9006.7000000000007</v>
      </c>
    </row>
    <row r="131" spans="1:9" ht="56.25">
      <c r="A131" s="423"/>
      <c r="B131" s="444" t="s">
        <v>142</v>
      </c>
      <c r="C131" s="194" t="s">
        <v>141</v>
      </c>
      <c r="D131" s="195" t="s">
        <v>98</v>
      </c>
      <c r="E131" s="195" t="s">
        <v>96</v>
      </c>
      <c r="F131" s="196" t="s">
        <v>97</v>
      </c>
      <c r="G131" s="422"/>
      <c r="H131" s="437">
        <f t="shared" ref="H131:I133" si="2">H132</f>
        <v>2643.1</v>
      </c>
      <c r="I131" s="437">
        <f t="shared" si="2"/>
        <v>2643.1</v>
      </c>
    </row>
    <row r="132" spans="1:9" ht="75">
      <c r="A132" s="423"/>
      <c r="B132" s="436" t="s">
        <v>143</v>
      </c>
      <c r="C132" s="194" t="s">
        <v>141</v>
      </c>
      <c r="D132" s="195" t="s">
        <v>98</v>
      </c>
      <c r="E132" s="195" t="s">
        <v>90</v>
      </c>
      <c r="F132" s="196" t="s">
        <v>97</v>
      </c>
      <c r="G132" s="197"/>
      <c r="H132" s="437">
        <f t="shared" si="2"/>
        <v>2643.1</v>
      </c>
      <c r="I132" s="437">
        <f t="shared" si="2"/>
        <v>2643.1</v>
      </c>
    </row>
    <row r="133" spans="1:9" ht="93.75">
      <c r="A133" s="423"/>
      <c r="B133" s="436" t="s">
        <v>492</v>
      </c>
      <c r="C133" s="194" t="s">
        <v>141</v>
      </c>
      <c r="D133" s="195" t="s">
        <v>98</v>
      </c>
      <c r="E133" s="195" t="s">
        <v>90</v>
      </c>
      <c r="F133" s="196" t="s">
        <v>471</v>
      </c>
      <c r="G133" s="197"/>
      <c r="H133" s="437">
        <f t="shared" si="2"/>
        <v>2643.1</v>
      </c>
      <c r="I133" s="437">
        <f t="shared" si="2"/>
        <v>2643.1</v>
      </c>
    </row>
    <row r="134" spans="1:9" ht="18.75">
      <c r="A134" s="423"/>
      <c r="B134" s="436" t="s">
        <v>186</v>
      </c>
      <c r="C134" s="194" t="s">
        <v>141</v>
      </c>
      <c r="D134" s="195" t="s">
        <v>98</v>
      </c>
      <c r="E134" s="195" t="s">
        <v>90</v>
      </c>
      <c r="F134" s="196" t="s">
        <v>471</v>
      </c>
      <c r="G134" s="197" t="s">
        <v>187</v>
      </c>
      <c r="H134" s="437">
        <f>'прил13(ведом 20-21)'!M60</f>
        <v>2643.1</v>
      </c>
      <c r="I134" s="437">
        <f>'прил13(ведом 20-21)'!N60</f>
        <v>2643.1</v>
      </c>
    </row>
    <row r="135" spans="1:9" ht="37.5">
      <c r="A135" s="423"/>
      <c r="B135" s="458" t="s">
        <v>188</v>
      </c>
      <c r="C135" s="194" t="s">
        <v>141</v>
      </c>
      <c r="D135" s="195" t="s">
        <v>150</v>
      </c>
      <c r="E135" s="195" t="s">
        <v>96</v>
      </c>
      <c r="F135" s="196" t="s">
        <v>97</v>
      </c>
      <c r="G135" s="422"/>
      <c r="H135" s="437">
        <f t="shared" ref="H135:I137" si="3">H136</f>
        <v>247</v>
      </c>
      <c r="I135" s="437">
        <f t="shared" si="3"/>
        <v>247</v>
      </c>
    </row>
    <row r="136" spans="1:9" ht="56.25">
      <c r="A136" s="423"/>
      <c r="B136" s="445" t="s">
        <v>189</v>
      </c>
      <c r="C136" s="194" t="s">
        <v>141</v>
      </c>
      <c r="D136" s="195" t="s">
        <v>150</v>
      </c>
      <c r="E136" s="195" t="s">
        <v>92</v>
      </c>
      <c r="F136" s="196" t="s">
        <v>97</v>
      </c>
      <c r="G136" s="197"/>
      <c r="H136" s="437">
        <f t="shared" si="3"/>
        <v>247</v>
      </c>
      <c r="I136" s="437">
        <f t="shared" si="3"/>
        <v>247</v>
      </c>
    </row>
    <row r="137" spans="1:9" ht="37.5">
      <c r="A137" s="423"/>
      <c r="B137" s="445" t="s">
        <v>190</v>
      </c>
      <c r="C137" s="194" t="s">
        <v>141</v>
      </c>
      <c r="D137" s="195" t="s">
        <v>150</v>
      </c>
      <c r="E137" s="195" t="s">
        <v>92</v>
      </c>
      <c r="F137" s="196" t="s">
        <v>152</v>
      </c>
      <c r="G137" s="197"/>
      <c r="H137" s="437">
        <f t="shared" si="3"/>
        <v>247</v>
      </c>
      <c r="I137" s="437">
        <f t="shared" si="3"/>
        <v>247</v>
      </c>
    </row>
    <row r="138" spans="1:9" ht="37.5">
      <c r="A138" s="423"/>
      <c r="B138" s="436" t="s">
        <v>108</v>
      </c>
      <c r="C138" s="194" t="s">
        <v>141</v>
      </c>
      <c r="D138" s="195" t="s">
        <v>150</v>
      </c>
      <c r="E138" s="195" t="s">
        <v>92</v>
      </c>
      <c r="F138" s="196" t="s">
        <v>152</v>
      </c>
      <c r="G138" s="197" t="s">
        <v>109</v>
      </c>
      <c r="H138" s="437">
        <f>'прил13(ведом 20-21)'!M66</f>
        <v>247</v>
      </c>
      <c r="I138" s="437">
        <f>'прил13(ведом 20-21)'!N66</f>
        <v>247</v>
      </c>
    </row>
    <row r="139" spans="1:9" ht="56.25">
      <c r="A139" s="423"/>
      <c r="B139" s="459" t="s">
        <v>563</v>
      </c>
      <c r="C139" s="194" t="s">
        <v>141</v>
      </c>
      <c r="D139" s="195" t="s">
        <v>83</v>
      </c>
      <c r="E139" s="195" t="s">
        <v>96</v>
      </c>
      <c r="F139" s="196" t="s">
        <v>97</v>
      </c>
      <c r="G139" s="197"/>
      <c r="H139" s="437">
        <f>H140</f>
        <v>6150.1</v>
      </c>
      <c r="I139" s="437">
        <f>I140</f>
        <v>6116.6</v>
      </c>
    </row>
    <row r="140" spans="1:9" ht="75">
      <c r="A140" s="423"/>
      <c r="B140" s="445" t="s">
        <v>464</v>
      </c>
      <c r="C140" s="194" t="s">
        <v>141</v>
      </c>
      <c r="D140" s="195" t="s">
        <v>83</v>
      </c>
      <c r="E140" s="195" t="s">
        <v>90</v>
      </c>
      <c r="F140" s="196" t="s">
        <v>97</v>
      </c>
      <c r="G140" s="197"/>
      <c r="H140" s="437">
        <f>H141</f>
        <v>6150.1</v>
      </c>
      <c r="I140" s="437">
        <f>I141</f>
        <v>6116.6</v>
      </c>
    </row>
    <row r="141" spans="1:9" ht="75">
      <c r="A141" s="423"/>
      <c r="B141" s="445" t="s">
        <v>151</v>
      </c>
      <c r="C141" s="194" t="s">
        <v>141</v>
      </c>
      <c r="D141" s="195" t="s">
        <v>83</v>
      </c>
      <c r="E141" s="195" t="s">
        <v>90</v>
      </c>
      <c r="F141" s="196" t="s">
        <v>153</v>
      </c>
      <c r="G141" s="197"/>
      <c r="H141" s="437">
        <f>SUM(H142:H143)</f>
        <v>6150.1</v>
      </c>
      <c r="I141" s="437">
        <f>SUM(I142:I143)</f>
        <v>6116.6</v>
      </c>
    </row>
    <row r="142" spans="1:9" s="435" customFormat="1" ht="93.75">
      <c r="A142" s="423"/>
      <c r="B142" s="436" t="s">
        <v>102</v>
      </c>
      <c r="C142" s="194" t="s">
        <v>141</v>
      </c>
      <c r="D142" s="195" t="s">
        <v>83</v>
      </c>
      <c r="E142" s="195" t="s">
        <v>90</v>
      </c>
      <c r="F142" s="196" t="s">
        <v>153</v>
      </c>
      <c r="G142" s="197" t="s">
        <v>103</v>
      </c>
      <c r="H142" s="437">
        <f>'прил13(ведом 20-21)'!M70</f>
        <v>6116.6</v>
      </c>
      <c r="I142" s="437">
        <f>'прил13(ведом 20-21)'!N70</f>
        <v>6116.6</v>
      </c>
    </row>
    <row r="143" spans="1:9" ht="37.5">
      <c r="A143" s="423"/>
      <c r="B143" s="436" t="s">
        <v>108</v>
      </c>
      <c r="C143" s="194" t="s">
        <v>141</v>
      </c>
      <c r="D143" s="195" t="s">
        <v>83</v>
      </c>
      <c r="E143" s="195" t="s">
        <v>90</v>
      </c>
      <c r="F143" s="196" t="s">
        <v>153</v>
      </c>
      <c r="G143" s="197" t="s">
        <v>109</v>
      </c>
      <c r="H143" s="437">
        <f>'прил13(ведом 20-21)'!M71</f>
        <v>33.5</v>
      </c>
      <c r="I143" s="437">
        <f>'прил13(ведом 20-21)'!N71</f>
        <v>0</v>
      </c>
    </row>
    <row r="144" spans="1:9" ht="18.75">
      <c r="A144" s="460"/>
      <c r="B144" s="438"/>
      <c r="C144" s="402"/>
      <c r="D144" s="553"/>
      <c r="E144" s="553"/>
      <c r="F144" s="554"/>
      <c r="G144" s="422"/>
      <c r="H144" s="437"/>
      <c r="I144" s="437"/>
    </row>
    <row r="145" spans="1:9" s="435" customFormat="1" ht="56.25">
      <c r="A145" s="441">
        <v>6</v>
      </c>
      <c r="B145" s="455" t="s">
        <v>303</v>
      </c>
      <c r="C145" s="431" t="s">
        <v>304</v>
      </c>
      <c r="D145" s="431" t="s">
        <v>95</v>
      </c>
      <c r="E145" s="431" t="s">
        <v>96</v>
      </c>
      <c r="F145" s="432" t="s">
        <v>97</v>
      </c>
      <c r="G145" s="433"/>
      <c r="H145" s="434">
        <f>H146</f>
        <v>26657.800000000003</v>
      </c>
      <c r="I145" s="434">
        <f>I146</f>
        <v>26655.9</v>
      </c>
    </row>
    <row r="146" spans="1:9" ht="37.5">
      <c r="A146" s="423"/>
      <c r="B146" s="436" t="s">
        <v>491</v>
      </c>
      <c r="C146" s="398" t="s">
        <v>304</v>
      </c>
      <c r="D146" s="399" t="s">
        <v>98</v>
      </c>
      <c r="E146" s="195" t="s">
        <v>96</v>
      </c>
      <c r="F146" s="196" t="s">
        <v>97</v>
      </c>
      <c r="G146" s="197"/>
      <c r="H146" s="437">
        <f>H147+H151</f>
        <v>26657.800000000003</v>
      </c>
      <c r="I146" s="437">
        <f>I147+I151</f>
        <v>26655.9</v>
      </c>
    </row>
    <row r="147" spans="1:9" ht="56.25">
      <c r="A147" s="423"/>
      <c r="B147" s="436" t="s">
        <v>426</v>
      </c>
      <c r="C147" s="398" t="s">
        <v>304</v>
      </c>
      <c r="D147" s="399" t="s">
        <v>98</v>
      </c>
      <c r="E147" s="195" t="s">
        <v>90</v>
      </c>
      <c r="F147" s="196" t="s">
        <v>97</v>
      </c>
      <c r="G147" s="197"/>
      <c r="H147" s="437">
        <f>H148</f>
        <v>21657.800000000003</v>
      </c>
      <c r="I147" s="437">
        <f>I148</f>
        <v>21655.9</v>
      </c>
    </row>
    <row r="148" spans="1:9" ht="37.5">
      <c r="A148" s="423"/>
      <c r="B148" s="436" t="s">
        <v>100</v>
      </c>
      <c r="C148" s="398" t="s">
        <v>304</v>
      </c>
      <c r="D148" s="399" t="s">
        <v>98</v>
      </c>
      <c r="E148" s="195" t="s">
        <v>90</v>
      </c>
      <c r="F148" s="196" t="s">
        <v>101</v>
      </c>
      <c r="G148" s="197"/>
      <c r="H148" s="437">
        <f>SUM(H149:H150)</f>
        <v>21657.800000000003</v>
      </c>
      <c r="I148" s="437">
        <f>SUM(I149:I150)</f>
        <v>21655.9</v>
      </c>
    </row>
    <row r="149" spans="1:9" ht="93.75">
      <c r="A149" s="423"/>
      <c r="B149" s="436" t="s">
        <v>102</v>
      </c>
      <c r="C149" s="398" t="s">
        <v>304</v>
      </c>
      <c r="D149" s="399" t="s">
        <v>98</v>
      </c>
      <c r="E149" s="195" t="s">
        <v>90</v>
      </c>
      <c r="F149" s="196" t="s">
        <v>101</v>
      </c>
      <c r="G149" s="197" t="s">
        <v>103</v>
      </c>
      <c r="H149" s="437">
        <f>'прил13(ведом 20-21)'!M115</f>
        <v>21655.9</v>
      </c>
      <c r="I149" s="437">
        <f>'прил13(ведом 20-21)'!N115</f>
        <v>21655.9</v>
      </c>
    </row>
    <row r="150" spans="1:9" ht="18.75">
      <c r="A150" s="423"/>
      <c r="B150" s="397" t="s">
        <v>110</v>
      </c>
      <c r="C150" s="398" t="s">
        <v>304</v>
      </c>
      <c r="D150" s="399" t="s">
        <v>98</v>
      </c>
      <c r="E150" s="195" t="s">
        <v>90</v>
      </c>
      <c r="F150" s="196" t="s">
        <v>101</v>
      </c>
      <c r="G150" s="197" t="s">
        <v>111</v>
      </c>
      <c r="H150" s="437">
        <f>'прил13(ведом 20-21)'!M116</f>
        <v>1.9</v>
      </c>
      <c r="I150" s="437">
        <f>'прил13(ведом 20-21)'!N116</f>
        <v>0</v>
      </c>
    </row>
    <row r="151" spans="1:9" ht="37.5">
      <c r="A151" s="423"/>
      <c r="B151" s="436" t="s">
        <v>427</v>
      </c>
      <c r="C151" s="398" t="s">
        <v>304</v>
      </c>
      <c r="D151" s="399" t="s">
        <v>98</v>
      </c>
      <c r="E151" s="195" t="s">
        <v>92</v>
      </c>
      <c r="F151" s="196" t="s">
        <v>97</v>
      </c>
      <c r="G151" s="197"/>
      <c r="H151" s="437">
        <f>H152</f>
        <v>5000</v>
      </c>
      <c r="I151" s="437">
        <f>I152</f>
        <v>5000</v>
      </c>
    </row>
    <row r="152" spans="1:9" ht="37.5">
      <c r="A152" s="423"/>
      <c r="B152" s="397" t="s">
        <v>363</v>
      </c>
      <c r="C152" s="398" t="s">
        <v>304</v>
      </c>
      <c r="D152" s="399" t="s">
        <v>98</v>
      </c>
      <c r="E152" s="195" t="s">
        <v>92</v>
      </c>
      <c r="F152" s="196" t="s">
        <v>807</v>
      </c>
      <c r="G152" s="197"/>
      <c r="H152" s="437">
        <f>H153</f>
        <v>5000</v>
      </c>
      <c r="I152" s="437">
        <f>I153</f>
        <v>5000</v>
      </c>
    </row>
    <row r="153" spans="1:9" ht="18.75">
      <c r="A153" s="423"/>
      <c r="B153" s="397" t="s">
        <v>186</v>
      </c>
      <c r="C153" s="398" t="s">
        <v>304</v>
      </c>
      <c r="D153" s="399" t="s">
        <v>98</v>
      </c>
      <c r="E153" s="195" t="s">
        <v>92</v>
      </c>
      <c r="F153" s="196" t="s">
        <v>807</v>
      </c>
      <c r="G153" s="197" t="s">
        <v>187</v>
      </c>
      <c r="H153" s="437">
        <f>'прил13(ведом 20-21)'!M123</f>
        <v>5000</v>
      </c>
      <c r="I153" s="437">
        <f>'прил13(ведом 20-21)'!N123</f>
        <v>5000</v>
      </c>
    </row>
    <row r="154" spans="1:9" ht="18.75">
      <c r="A154" s="423"/>
      <c r="B154" s="436"/>
      <c r="C154" s="399"/>
      <c r="D154" s="399"/>
      <c r="E154" s="399"/>
      <c r="F154" s="461"/>
      <c r="G154" s="197"/>
      <c r="H154" s="437"/>
      <c r="I154" s="437"/>
    </row>
    <row r="155" spans="1:9" s="435" customFormat="1" ht="56.25">
      <c r="A155" s="429">
        <v>7</v>
      </c>
      <c r="B155" s="462" t="s">
        <v>305</v>
      </c>
      <c r="C155" s="463" t="s">
        <v>306</v>
      </c>
      <c r="D155" s="442" t="s">
        <v>95</v>
      </c>
      <c r="E155" s="442" t="s">
        <v>96</v>
      </c>
      <c r="F155" s="443" t="s">
        <v>97</v>
      </c>
      <c r="G155" s="464"/>
      <c r="H155" s="434">
        <f>H156</f>
        <v>15869.7</v>
      </c>
      <c r="I155" s="434">
        <f>I156</f>
        <v>15772.8</v>
      </c>
    </row>
    <row r="156" spans="1:9" ht="37.5">
      <c r="A156" s="460"/>
      <c r="B156" s="465" t="s">
        <v>309</v>
      </c>
      <c r="C156" s="448" t="s">
        <v>306</v>
      </c>
      <c r="D156" s="402" t="s">
        <v>150</v>
      </c>
      <c r="E156" s="402" t="s">
        <v>96</v>
      </c>
      <c r="F156" s="403" t="s">
        <v>97</v>
      </c>
      <c r="G156" s="404"/>
      <c r="H156" s="437">
        <f>H157</f>
        <v>15869.7</v>
      </c>
      <c r="I156" s="437">
        <f>I157</f>
        <v>15772.8</v>
      </c>
    </row>
    <row r="157" spans="1:9" ht="75">
      <c r="A157" s="460"/>
      <c r="B157" s="465" t="s">
        <v>424</v>
      </c>
      <c r="C157" s="448" t="s">
        <v>306</v>
      </c>
      <c r="D157" s="402" t="s">
        <v>150</v>
      </c>
      <c r="E157" s="402" t="s">
        <v>90</v>
      </c>
      <c r="F157" s="403" t="s">
        <v>97</v>
      </c>
      <c r="G157" s="404"/>
      <c r="H157" s="437">
        <f>H158+H160</f>
        <v>15869.7</v>
      </c>
      <c r="I157" s="437">
        <f>I158+I160</f>
        <v>15772.8</v>
      </c>
    </row>
    <row r="158" spans="1:9" ht="37.5">
      <c r="A158" s="460"/>
      <c r="B158" s="465" t="s">
        <v>100</v>
      </c>
      <c r="C158" s="470" t="s">
        <v>306</v>
      </c>
      <c r="D158" s="467" t="s">
        <v>150</v>
      </c>
      <c r="E158" s="467" t="s">
        <v>90</v>
      </c>
      <c r="F158" s="468" t="s">
        <v>101</v>
      </c>
      <c r="G158" s="404"/>
      <c r="H158" s="437">
        <f>SUM(H159:H159)</f>
        <v>11788.5</v>
      </c>
      <c r="I158" s="437">
        <f>SUM(I159:I159)</f>
        <v>11788.5</v>
      </c>
    </row>
    <row r="159" spans="1:9" ht="93.75">
      <c r="A159" s="460"/>
      <c r="B159" s="465" t="s">
        <v>102</v>
      </c>
      <c r="C159" s="448" t="s">
        <v>306</v>
      </c>
      <c r="D159" s="402" t="s">
        <v>150</v>
      </c>
      <c r="E159" s="402" t="s">
        <v>90</v>
      </c>
      <c r="F159" s="403" t="s">
        <v>101</v>
      </c>
      <c r="G159" s="404" t="s">
        <v>103</v>
      </c>
      <c r="H159" s="437">
        <f>'прил13(ведом 20-21)'!M144</f>
        <v>11788.5</v>
      </c>
      <c r="I159" s="437">
        <f>'прил13(ведом 20-21)'!N144</f>
        <v>11788.5</v>
      </c>
    </row>
    <row r="160" spans="1:9" ht="75">
      <c r="A160" s="460"/>
      <c r="B160" s="465" t="s">
        <v>151</v>
      </c>
      <c r="C160" s="448" t="s">
        <v>306</v>
      </c>
      <c r="D160" s="402" t="s">
        <v>150</v>
      </c>
      <c r="E160" s="402" t="s">
        <v>90</v>
      </c>
      <c r="F160" s="403" t="s">
        <v>153</v>
      </c>
      <c r="G160" s="404"/>
      <c r="H160" s="437">
        <f>SUM(H161:H163)</f>
        <v>4081.2000000000003</v>
      </c>
      <c r="I160" s="437">
        <f>SUM(I161:I163)</f>
        <v>3984.3</v>
      </c>
    </row>
    <row r="161" spans="1:9" ht="93.75">
      <c r="A161" s="460"/>
      <c r="B161" s="465" t="s">
        <v>102</v>
      </c>
      <c r="C161" s="448" t="s">
        <v>306</v>
      </c>
      <c r="D161" s="402" t="s">
        <v>150</v>
      </c>
      <c r="E161" s="402" t="s">
        <v>90</v>
      </c>
      <c r="F161" s="403" t="s">
        <v>153</v>
      </c>
      <c r="G161" s="404" t="s">
        <v>103</v>
      </c>
      <c r="H161" s="437">
        <f>'прил13(ведом 20-21)'!M146</f>
        <v>3984.3</v>
      </c>
      <c r="I161" s="437">
        <f>'прил13(ведом 20-21)'!N146</f>
        <v>3984.3</v>
      </c>
    </row>
    <row r="162" spans="1:9" ht="37.5">
      <c r="A162" s="460"/>
      <c r="B162" s="397" t="s">
        <v>108</v>
      </c>
      <c r="C162" s="470" t="s">
        <v>306</v>
      </c>
      <c r="D162" s="467" t="s">
        <v>150</v>
      </c>
      <c r="E162" s="467" t="s">
        <v>90</v>
      </c>
      <c r="F162" s="468" t="s">
        <v>153</v>
      </c>
      <c r="G162" s="404" t="s">
        <v>109</v>
      </c>
      <c r="H162" s="437">
        <f>'прил13(ведом 20-21)'!M147</f>
        <v>69.5</v>
      </c>
      <c r="I162" s="437">
        <f>'прил13(ведом 20-21)'!N147</f>
        <v>0</v>
      </c>
    </row>
    <row r="163" spans="1:9" ht="18.75">
      <c r="A163" s="460"/>
      <c r="B163" s="400" t="s">
        <v>110</v>
      </c>
      <c r="C163" s="448" t="s">
        <v>306</v>
      </c>
      <c r="D163" s="402" t="s">
        <v>150</v>
      </c>
      <c r="E163" s="402" t="s">
        <v>90</v>
      </c>
      <c r="F163" s="403" t="s">
        <v>153</v>
      </c>
      <c r="G163" s="404" t="s">
        <v>111</v>
      </c>
      <c r="H163" s="437">
        <f>'прил13(ведом 20-21)'!M148</f>
        <v>27.4</v>
      </c>
      <c r="I163" s="437">
        <f>'прил13(ведом 20-21)'!N148</f>
        <v>0</v>
      </c>
    </row>
    <row r="164" spans="1:9" ht="18.75">
      <c r="A164" s="460"/>
      <c r="B164" s="440"/>
      <c r="C164" s="402"/>
      <c r="D164" s="553"/>
      <c r="E164" s="553"/>
      <c r="F164" s="554"/>
      <c r="G164" s="422"/>
      <c r="H164" s="437"/>
      <c r="I164" s="437"/>
    </row>
    <row r="165" spans="1:9" s="435" customFormat="1" ht="56.25">
      <c r="A165" s="441">
        <v>8</v>
      </c>
      <c r="B165" s="462" t="s">
        <v>407</v>
      </c>
      <c r="C165" s="442" t="s">
        <v>139</v>
      </c>
      <c r="D165" s="442" t="s">
        <v>95</v>
      </c>
      <c r="E165" s="442" t="s">
        <v>96</v>
      </c>
      <c r="F165" s="443" t="s">
        <v>97</v>
      </c>
      <c r="G165" s="433"/>
      <c r="H165" s="434">
        <f>H166</f>
        <v>112782.40000000001</v>
      </c>
      <c r="I165" s="434">
        <f>I166</f>
        <v>115282.40000000001</v>
      </c>
    </row>
    <row r="166" spans="1:9" ht="37.5">
      <c r="A166" s="423"/>
      <c r="B166" s="436" t="s">
        <v>491</v>
      </c>
      <c r="C166" s="401" t="s">
        <v>139</v>
      </c>
      <c r="D166" s="402" t="s">
        <v>98</v>
      </c>
      <c r="E166" s="402" t="s">
        <v>96</v>
      </c>
      <c r="F166" s="484" t="s">
        <v>97</v>
      </c>
      <c r="G166" s="422"/>
      <c r="H166" s="437">
        <f>H167+H182+H191</f>
        <v>112782.40000000001</v>
      </c>
      <c r="I166" s="437">
        <f>I167+I182+I191</f>
        <v>115282.40000000001</v>
      </c>
    </row>
    <row r="167" spans="1:9" ht="37.5">
      <c r="A167" s="423"/>
      <c r="B167" s="436" t="s">
        <v>392</v>
      </c>
      <c r="C167" s="194" t="s">
        <v>139</v>
      </c>
      <c r="D167" s="195" t="s">
        <v>98</v>
      </c>
      <c r="E167" s="195" t="s">
        <v>90</v>
      </c>
      <c r="F167" s="196" t="s">
        <v>97</v>
      </c>
      <c r="G167" s="422"/>
      <c r="H167" s="437">
        <f>H168+H171+H174+H177+H180</f>
        <v>62556.800000000003</v>
      </c>
      <c r="I167" s="437">
        <f>I168+I171+I174+I177+I180</f>
        <v>65056.799999999996</v>
      </c>
    </row>
    <row r="168" spans="1:9" ht="124.9" customHeight="1">
      <c r="A168" s="423"/>
      <c r="B168" s="485" t="s">
        <v>535</v>
      </c>
      <c r="C168" s="194" t="s">
        <v>139</v>
      </c>
      <c r="D168" s="195" t="s">
        <v>98</v>
      </c>
      <c r="E168" s="195" t="s">
        <v>90</v>
      </c>
      <c r="F168" s="196" t="s">
        <v>409</v>
      </c>
      <c r="G168" s="197"/>
      <c r="H168" s="437">
        <f>SUM(H169:H170)</f>
        <v>34336.800000000003</v>
      </c>
      <c r="I168" s="437">
        <f>SUM(I169:I170)</f>
        <v>35709.599999999999</v>
      </c>
    </row>
    <row r="169" spans="1:9" ht="37.5">
      <c r="A169" s="423"/>
      <c r="B169" s="486" t="s">
        <v>108</v>
      </c>
      <c r="C169" s="194" t="s">
        <v>139</v>
      </c>
      <c r="D169" s="195" t="s">
        <v>98</v>
      </c>
      <c r="E169" s="195" t="s">
        <v>90</v>
      </c>
      <c r="F169" s="196" t="s">
        <v>409</v>
      </c>
      <c r="G169" s="197" t="s">
        <v>109</v>
      </c>
      <c r="H169" s="437">
        <f>'прил13(ведом 20-21)'!M336</f>
        <v>170.8</v>
      </c>
      <c r="I169" s="437">
        <f>'прил13(ведом 20-21)'!N336</f>
        <v>177.6</v>
      </c>
    </row>
    <row r="170" spans="1:9" ht="37.5">
      <c r="A170" s="423"/>
      <c r="B170" s="436" t="s">
        <v>183</v>
      </c>
      <c r="C170" s="194" t="s">
        <v>139</v>
      </c>
      <c r="D170" s="195" t="s">
        <v>98</v>
      </c>
      <c r="E170" s="195" t="s">
        <v>90</v>
      </c>
      <c r="F170" s="196" t="s">
        <v>409</v>
      </c>
      <c r="G170" s="197" t="s">
        <v>184</v>
      </c>
      <c r="H170" s="437">
        <f>'прил13(ведом 20-21)'!M337</f>
        <v>34166</v>
      </c>
      <c r="I170" s="437">
        <f>'прил13(ведом 20-21)'!N337</f>
        <v>35532</v>
      </c>
    </row>
    <row r="171" spans="1:9" ht="75" customHeight="1">
      <c r="A171" s="423"/>
      <c r="B171" s="436" t="s">
        <v>536</v>
      </c>
      <c r="C171" s="194" t="s">
        <v>139</v>
      </c>
      <c r="D171" s="195" t="s">
        <v>98</v>
      </c>
      <c r="E171" s="195" t="s">
        <v>90</v>
      </c>
      <c r="F171" s="196" t="s">
        <v>410</v>
      </c>
      <c r="G171" s="197"/>
      <c r="H171" s="437">
        <f>SUM(H172:H173)</f>
        <v>27224.300000000003</v>
      </c>
      <c r="I171" s="437">
        <f>SUM(I172:I173)</f>
        <v>28312.300000000003</v>
      </c>
    </row>
    <row r="172" spans="1:9" ht="37.5">
      <c r="A172" s="423"/>
      <c r="B172" s="486" t="s">
        <v>108</v>
      </c>
      <c r="C172" s="194" t="s">
        <v>139</v>
      </c>
      <c r="D172" s="195" t="s">
        <v>98</v>
      </c>
      <c r="E172" s="195" t="s">
        <v>90</v>
      </c>
      <c r="F172" s="196" t="s">
        <v>410</v>
      </c>
      <c r="G172" s="197" t="s">
        <v>109</v>
      </c>
      <c r="H172" s="437">
        <f>'прил13(ведом 20-21)'!M339</f>
        <v>135.4</v>
      </c>
      <c r="I172" s="437">
        <f>'прил13(ведом 20-21)'!N339</f>
        <v>140.9</v>
      </c>
    </row>
    <row r="173" spans="1:9" ht="37.5">
      <c r="A173" s="423"/>
      <c r="B173" s="436" t="s">
        <v>183</v>
      </c>
      <c r="C173" s="194" t="s">
        <v>139</v>
      </c>
      <c r="D173" s="195" t="s">
        <v>98</v>
      </c>
      <c r="E173" s="195" t="s">
        <v>90</v>
      </c>
      <c r="F173" s="196" t="s">
        <v>410</v>
      </c>
      <c r="G173" s="197" t="s">
        <v>184</v>
      </c>
      <c r="H173" s="437">
        <f>'прил13(ведом 20-21)'!M340</f>
        <v>27088.9</v>
      </c>
      <c r="I173" s="437">
        <f>'прил13(ведом 20-21)'!N340</f>
        <v>28171.4</v>
      </c>
    </row>
    <row r="174" spans="1:9" ht="93.75">
      <c r="A174" s="423"/>
      <c r="B174" s="436" t="s">
        <v>537</v>
      </c>
      <c r="C174" s="194" t="s">
        <v>139</v>
      </c>
      <c r="D174" s="195" t="s">
        <v>98</v>
      </c>
      <c r="E174" s="195" t="s">
        <v>90</v>
      </c>
      <c r="F174" s="196" t="s">
        <v>411</v>
      </c>
      <c r="G174" s="197"/>
      <c r="H174" s="437">
        <f>SUM(H175:H176)</f>
        <v>467.40000000000003</v>
      </c>
      <c r="I174" s="437">
        <f>SUM(I175:I176)</f>
        <v>486.09999999999997</v>
      </c>
    </row>
    <row r="175" spans="1:9" ht="37.5">
      <c r="A175" s="423"/>
      <c r="B175" s="436" t="s">
        <v>108</v>
      </c>
      <c r="C175" s="194" t="s">
        <v>139</v>
      </c>
      <c r="D175" s="195" t="s">
        <v>98</v>
      </c>
      <c r="E175" s="195" t="s">
        <v>90</v>
      </c>
      <c r="F175" s="196" t="s">
        <v>411</v>
      </c>
      <c r="G175" s="197" t="s">
        <v>109</v>
      </c>
      <c r="H175" s="437">
        <f>'прил13(ведом 20-21)'!M342</f>
        <v>2.2999999999999998</v>
      </c>
      <c r="I175" s="437">
        <f>'прил13(ведом 20-21)'!N342</f>
        <v>2.4</v>
      </c>
    </row>
    <row r="176" spans="1:9" ht="37.5">
      <c r="A176" s="423"/>
      <c r="B176" s="436" t="s">
        <v>183</v>
      </c>
      <c r="C176" s="194" t="s">
        <v>139</v>
      </c>
      <c r="D176" s="195" t="s">
        <v>98</v>
      </c>
      <c r="E176" s="195" t="s">
        <v>90</v>
      </c>
      <c r="F176" s="196" t="s">
        <v>411</v>
      </c>
      <c r="G176" s="197" t="s">
        <v>184</v>
      </c>
      <c r="H176" s="437">
        <f>'прил13(ведом 20-21)'!M343</f>
        <v>465.1</v>
      </c>
      <c r="I176" s="437">
        <f>'прил13(ведом 20-21)'!N343</f>
        <v>483.7</v>
      </c>
    </row>
    <row r="177" spans="1:9" ht="94.9" customHeight="1">
      <c r="A177" s="423"/>
      <c r="B177" s="436" t="s">
        <v>555</v>
      </c>
      <c r="C177" s="194" t="s">
        <v>139</v>
      </c>
      <c r="D177" s="195" t="s">
        <v>98</v>
      </c>
      <c r="E177" s="195" t="s">
        <v>90</v>
      </c>
      <c r="F177" s="196" t="s">
        <v>412</v>
      </c>
      <c r="G177" s="197"/>
      <c r="H177" s="437">
        <f>SUM(H178:H179)</f>
        <v>512.70000000000005</v>
      </c>
      <c r="I177" s="437">
        <f>SUM(I178:I179)</f>
        <v>533.20000000000005</v>
      </c>
    </row>
    <row r="178" spans="1:9" ht="37.5">
      <c r="A178" s="423"/>
      <c r="B178" s="436" t="s">
        <v>108</v>
      </c>
      <c r="C178" s="194" t="s">
        <v>139</v>
      </c>
      <c r="D178" s="195" t="s">
        <v>98</v>
      </c>
      <c r="E178" s="195" t="s">
        <v>90</v>
      </c>
      <c r="F178" s="196" t="s">
        <v>412</v>
      </c>
      <c r="G178" s="197" t="s">
        <v>109</v>
      </c>
      <c r="H178" s="437">
        <f>'прил13(ведом 20-21)'!M345</f>
        <v>2.6</v>
      </c>
      <c r="I178" s="437">
        <f>'прил13(ведом 20-21)'!N345</f>
        <v>2.7</v>
      </c>
    </row>
    <row r="179" spans="1:9" ht="37.5">
      <c r="A179" s="423"/>
      <c r="B179" s="436" t="s">
        <v>183</v>
      </c>
      <c r="C179" s="194" t="s">
        <v>139</v>
      </c>
      <c r="D179" s="195" t="s">
        <v>98</v>
      </c>
      <c r="E179" s="195" t="s">
        <v>90</v>
      </c>
      <c r="F179" s="196" t="s">
        <v>412</v>
      </c>
      <c r="G179" s="197" t="s">
        <v>184</v>
      </c>
      <c r="H179" s="437">
        <f>'прил13(ведом 20-21)'!M346</f>
        <v>510.1</v>
      </c>
      <c r="I179" s="437">
        <f>'прил13(ведом 20-21)'!N346</f>
        <v>530.5</v>
      </c>
    </row>
    <row r="180" spans="1:9" ht="150">
      <c r="A180" s="423"/>
      <c r="B180" s="487" t="s">
        <v>534</v>
      </c>
      <c r="C180" s="194" t="s">
        <v>139</v>
      </c>
      <c r="D180" s="195" t="s">
        <v>98</v>
      </c>
      <c r="E180" s="195" t="s">
        <v>90</v>
      </c>
      <c r="F180" s="196" t="s">
        <v>408</v>
      </c>
      <c r="G180" s="197"/>
      <c r="H180" s="437">
        <f>H181</f>
        <v>15.6</v>
      </c>
      <c r="I180" s="437">
        <f>I181</f>
        <v>15.6</v>
      </c>
    </row>
    <row r="181" spans="1:9" ht="18.600000000000001" customHeight="1">
      <c r="A181" s="423"/>
      <c r="B181" s="436" t="s">
        <v>183</v>
      </c>
      <c r="C181" s="194" t="s">
        <v>139</v>
      </c>
      <c r="D181" s="195" t="s">
        <v>98</v>
      </c>
      <c r="E181" s="195" t="s">
        <v>90</v>
      </c>
      <c r="F181" s="196" t="s">
        <v>408</v>
      </c>
      <c r="G181" s="197" t="s">
        <v>184</v>
      </c>
      <c r="H181" s="437">
        <f>'прил13(ведом 20-21)'!M329</f>
        <v>15.6</v>
      </c>
      <c r="I181" s="437">
        <f>'прил13(ведом 20-21)'!N329</f>
        <v>15.6</v>
      </c>
    </row>
    <row r="182" spans="1:9" ht="75">
      <c r="A182" s="423"/>
      <c r="B182" s="465" t="s">
        <v>421</v>
      </c>
      <c r="C182" s="401" t="s">
        <v>139</v>
      </c>
      <c r="D182" s="402" t="s">
        <v>98</v>
      </c>
      <c r="E182" s="402" t="s">
        <v>92</v>
      </c>
      <c r="F182" s="484" t="s">
        <v>97</v>
      </c>
      <c r="G182" s="404"/>
      <c r="H182" s="437">
        <f>H183+H185+H189+H187</f>
        <v>43976.800000000003</v>
      </c>
      <c r="I182" s="437">
        <f>I183+I185+I189+I187</f>
        <v>43976.800000000003</v>
      </c>
    </row>
    <row r="183" spans="1:9" ht="187.5">
      <c r="A183" s="423"/>
      <c r="B183" s="485" t="s">
        <v>543</v>
      </c>
      <c r="C183" s="194" t="s">
        <v>139</v>
      </c>
      <c r="D183" s="195" t="s">
        <v>98</v>
      </c>
      <c r="E183" s="195" t="s">
        <v>92</v>
      </c>
      <c r="F183" s="196" t="s">
        <v>544</v>
      </c>
      <c r="G183" s="197"/>
      <c r="H183" s="437">
        <f>H184</f>
        <v>5.2</v>
      </c>
      <c r="I183" s="437">
        <f>I184</f>
        <v>5.2</v>
      </c>
    </row>
    <row r="184" spans="1:9" ht="37.5">
      <c r="A184" s="423"/>
      <c r="B184" s="436" t="s">
        <v>183</v>
      </c>
      <c r="C184" s="194" t="s">
        <v>139</v>
      </c>
      <c r="D184" s="195" t="s">
        <v>98</v>
      </c>
      <c r="E184" s="195" t="s">
        <v>92</v>
      </c>
      <c r="F184" s="196" t="s">
        <v>544</v>
      </c>
      <c r="G184" s="197" t="s">
        <v>184</v>
      </c>
      <c r="H184" s="437">
        <f>'прил13(ведом 20-21)'!M349</f>
        <v>5.2</v>
      </c>
      <c r="I184" s="437">
        <f>'прил13(ведом 20-21)'!N349</f>
        <v>5.2</v>
      </c>
    </row>
    <row r="185" spans="1:9" ht="281.25">
      <c r="A185" s="423"/>
      <c r="B185" s="485" t="s">
        <v>554</v>
      </c>
      <c r="C185" s="194" t="s">
        <v>139</v>
      </c>
      <c r="D185" s="195" t="s">
        <v>98</v>
      </c>
      <c r="E185" s="195" t="s">
        <v>92</v>
      </c>
      <c r="F185" s="196" t="s">
        <v>545</v>
      </c>
      <c r="G185" s="197"/>
      <c r="H185" s="437">
        <f>H186</f>
        <v>231</v>
      </c>
      <c r="I185" s="437">
        <f>I186</f>
        <v>231</v>
      </c>
    </row>
    <row r="186" spans="1:9" ht="37.5">
      <c r="A186" s="423"/>
      <c r="B186" s="436" t="s">
        <v>183</v>
      </c>
      <c r="C186" s="194" t="s">
        <v>139</v>
      </c>
      <c r="D186" s="195" t="s">
        <v>98</v>
      </c>
      <c r="E186" s="195" t="s">
        <v>92</v>
      </c>
      <c r="F186" s="196" t="s">
        <v>545</v>
      </c>
      <c r="G186" s="197" t="s">
        <v>184</v>
      </c>
      <c r="H186" s="437">
        <f>'прил13(ведом 20-21)'!M351</f>
        <v>231</v>
      </c>
      <c r="I186" s="437">
        <f>'прил13(ведом 20-21)'!N351</f>
        <v>231</v>
      </c>
    </row>
    <row r="187" spans="1:9" ht="112.5">
      <c r="A187" s="423"/>
      <c r="B187" s="710" t="s">
        <v>422</v>
      </c>
      <c r="C187" s="711" t="s">
        <v>139</v>
      </c>
      <c r="D187" s="712" t="s">
        <v>98</v>
      </c>
      <c r="E187" s="712" t="s">
        <v>92</v>
      </c>
      <c r="F187" s="713" t="s">
        <v>820</v>
      </c>
      <c r="G187" s="714"/>
      <c r="H187" s="715">
        <f>H188</f>
        <v>35547.1</v>
      </c>
      <c r="I187" s="715">
        <f>I188</f>
        <v>35547.100000000006</v>
      </c>
    </row>
    <row r="188" spans="1:9" ht="37.5">
      <c r="A188" s="423"/>
      <c r="B188" s="710" t="s">
        <v>282</v>
      </c>
      <c r="C188" s="711" t="s">
        <v>139</v>
      </c>
      <c r="D188" s="712" t="s">
        <v>98</v>
      </c>
      <c r="E188" s="712" t="s">
        <v>92</v>
      </c>
      <c r="F188" s="713" t="s">
        <v>820</v>
      </c>
      <c r="G188" s="714" t="s">
        <v>283</v>
      </c>
      <c r="H188" s="715">
        <f>'прил13(ведом 20-21)'!M161</f>
        <v>35547.1</v>
      </c>
      <c r="I188" s="715">
        <f>'прил13(ведом 20-21)'!N161</f>
        <v>35547.100000000006</v>
      </c>
    </row>
    <row r="189" spans="1:9" ht="112.5">
      <c r="A189" s="423"/>
      <c r="B189" s="710" t="s">
        <v>422</v>
      </c>
      <c r="C189" s="711" t="s">
        <v>139</v>
      </c>
      <c r="D189" s="712" t="s">
        <v>98</v>
      </c>
      <c r="E189" s="712" t="s">
        <v>92</v>
      </c>
      <c r="F189" s="713" t="s">
        <v>423</v>
      </c>
      <c r="G189" s="714"/>
      <c r="H189" s="715">
        <f>H190</f>
        <v>8193.5</v>
      </c>
      <c r="I189" s="715">
        <f>I190</f>
        <v>8193.5</v>
      </c>
    </row>
    <row r="190" spans="1:9" ht="37.5">
      <c r="A190" s="423"/>
      <c r="B190" s="710" t="s">
        <v>282</v>
      </c>
      <c r="C190" s="711" t="s">
        <v>139</v>
      </c>
      <c r="D190" s="712" t="s">
        <v>98</v>
      </c>
      <c r="E190" s="712" t="s">
        <v>92</v>
      </c>
      <c r="F190" s="713" t="s">
        <v>423</v>
      </c>
      <c r="G190" s="714" t="s">
        <v>283</v>
      </c>
      <c r="H190" s="715">
        <f>'прил13(ведом 20-21)'!M163</f>
        <v>8193.5</v>
      </c>
      <c r="I190" s="715">
        <f>'прил13(ведом 20-21)'!N163</f>
        <v>8193.5</v>
      </c>
    </row>
    <row r="191" spans="1:9" ht="37.5">
      <c r="A191" s="423"/>
      <c r="B191" s="436" t="s">
        <v>309</v>
      </c>
      <c r="C191" s="194" t="s">
        <v>139</v>
      </c>
      <c r="D191" s="195" t="s">
        <v>98</v>
      </c>
      <c r="E191" s="195" t="s">
        <v>119</v>
      </c>
      <c r="F191" s="196" t="s">
        <v>97</v>
      </c>
      <c r="G191" s="197"/>
      <c r="H191" s="437">
        <f>H192+H195+H198</f>
        <v>6248.8</v>
      </c>
      <c r="I191" s="437">
        <f>I192+I195+I198</f>
        <v>6248.8</v>
      </c>
    </row>
    <row r="192" spans="1:9" ht="72.599999999999994" customHeight="1">
      <c r="A192" s="423"/>
      <c r="B192" s="436" t="s">
        <v>311</v>
      </c>
      <c r="C192" s="194" t="s">
        <v>139</v>
      </c>
      <c r="D192" s="195" t="s">
        <v>98</v>
      </c>
      <c r="E192" s="195" t="s">
        <v>119</v>
      </c>
      <c r="F192" s="196" t="s">
        <v>414</v>
      </c>
      <c r="G192" s="197"/>
      <c r="H192" s="437">
        <f>SUM(H193:H194)</f>
        <v>4784.5</v>
      </c>
      <c r="I192" s="437">
        <f>SUM(I193:I194)</f>
        <v>4784.5</v>
      </c>
    </row>
    <row r="193" spans="1:9" ht="93.75">
      <c r="A193" s="423"/>
      <c r="B193" s="436" t="s">
        <v>102</v>
      </c>
      <c r="C193" s="194" t="s">
        <v>139</v>
      </c>
      <c r="D193" s="195" t="s">
        <v>98</v>
      </c>
      <c r="E193" s="195" t="s">
        <v>119</v>
      </c>
      <c r="F193" s="196" t="s">
        <v>414</v>
      </c>
      <c r="G193" s="197" t="s">
        <v>103</v>
      </c>
      <c r="H193" s="437">
        <f>'прил13(ведом 20-21)'!M357</f>
        <v>4434.5</v>
      </c>
      <c r="I193" s="437">
        <f>'прил13(ведом 20-21)'!N357</f>
        <v>4434.5</v>
      </c>
    </row>
    <row r="194" spans="1:9" ht="37.5">
      <c r="A194" s="423"/>
      <c r="B194" s="436" t="s">
        <v>108</v>
      </c>
      <c r="C194" s="488" t="s">
        <v>139</v>
      </c>
      <c r="D194" s="489" t="s">
        <v>98</v>
      </c>
      <c r="E194" s="489" t="s">
        <v>119</v>
      </c>
      <c r="F194" s="490" t="s">
        <v>414</v>
      </c>
      <c r="G194" s="197" t="s">
        <v>109</v>
      </c>
      <c r="H194" s="437">
        <f>'прил13(ведом 20-21)'!M358</f>
        <v>350</v>
      </c>
      <c r="I194" s="437">
        <f>'прил13(ведом 20-21)'!N358</f>
        <v>350</v>
      </c>
    </row>
    <row r="195" spans="1:9" ht="56.25">
      <c r="A195" s="423"/>
      <c r="B195" s="397" t="s">
        <v>601</v>
      </c>
      <c r="C195" s="194" t="s">
        <v>139</v>
      </c>
      <c r="D195" s="195" t="s">
        <v>98</v>
      </c>
      <c r="E195" s="195" t="s">
        <v>119</v>
      </c>
      <c r="F195" s="196" t="s">
        <v>415</v>
      </c>
      <c r="G195" s="197"/>
      <c r="H195" s="437">
        <f>SUM(H196:H197)</f>
        <v>617.29999999999995</v>
      </c>
      <c r="I195" s="437">
        <f>SUM(I196:I197)</f>
        <v>617.29999999999995</v>
      </c>
    </row>
    <row r="196" spans="1:9" ht="93.75">
      <c r="A196" s="423"/>
      <c r="B196" s="436" t="s">
        <v>102</v>
      </c>
      <c r="C196" s="194" t="s">
        <v>139</v>
      </c>
      <c r="D196" s="195" t="s">
        <v>98</v>
      </c>
      <c r="E196" s="195" t="s">
        <v>119</v>
      </c>
      <c r="F196" s="196" t="s">
        <v>415</v>
      </c>
      <c r="G196" s="197" t="s">
        <v>103</v>
      </c>
      <c r="H196" s="437">
        <f>'прил13(ведом 20-21)'!M360</f>
        <v>567.29999999999995</v>
      </c>
      <c r="I196" s="437">
        <f>'прил13(ведом 20-21)'!N360</f>
        <v>567.29999999999995</v>
      </c>
    </row>
    <row r="197" spans="1:9" ht="37.5">
      <c r="A197" s="423"/>
      <c r="B197" s="436" t="s">
        <v>108</v>
      </c>
      <c r="C197" s="194" t="s">
        <v>139</v>
      </c>
      <c r="D197" s="195" t="s">
        <v>98</v>
      </c>
      <c r="E197" s="195" t="s">
        <v>119</v>
      </c>
      <c r="F197" s="196" t="s">
        <v>415</v>
      </c>
      <c r="G197" s="197" t="s">
        <v>109</v>
      </c>
      <c r="H197" s="437">
        <f>'прил13(ведом 20-21)'!M361</f>
        <v>50</v>
      </c>
      <c r="I197" s="437">
        <f>'прил13(ведом 20-21)'!N361</f>
        <v>50</v>
      </c>
    </row>
    <row r="198" spans="1:9" ht="217.9" customHeight="1">
      <c r="A198" s="423"/>
      <c r="B198" s="436" t="s">
        <v>312</v>
      </c>
      <c r="C198" s="194" t="s">
        <v>139</v>
      </c>
      <c r="D198" s="195" t="s">
        <v>98</v>
      </c>
      <c r="E198" s="195" t="s">
        <v>119</v>
      </c>
      <c r="F198" s="196" t="s">
        <v>416</v>
      </c>
      <c r="G198" s="197"/>
      <c r="H198" s="437">
        <f>H199+H200</f>
        <v>847</v>
      </c>
      <c r="I198" s="437">
        <f>I199+I200</f>
        <v>847</v>
      </c>
    </row>
    <row r="199" spans="1:9" ht="93.75">
      <c r="A199" s="423"/>
      <c r="B199" s="436" t="s">
        <v>102</v>
      </c>
      <c r="C199" s="194" t="s">
        <v>139</v>
      </c>
      <c r="D199" s="195" t="s">
        <v>98</v>
      </c>
      <c r="E199" s="195" t="s">
        <v>119</v>
      </c>
      <c r="F199" s="196" t="s">
        <v>416</v>
      </c>
      <c r="G199" s="197" t="s">
        <v>103</v>
      </c>
      <c r="H199" s="437">
        <f>'прил13(ведом 20-21)'!M363</f>
        <v>767</v>
      </c>
      <c r="I199" s="437">
        <f>'прил13(ведом 20-21)'!N363</f>
        <v>767</v>
      </c>
    </row>
    <row r="200" spans="1:9" ht="37.5">
      <c r="A200" s="423"/>
      <c r="B200" s="436" t="s">
        <v>108</v>
      </c>
      <c r="C200" s="194" t="s">
        <v>139</v>
      </c>
      <c r="D200" s="195" t="s">
        <v>98</v>
      </c>
      <c r="E200" s="195" t="s">
        <v>119</v>
      </c>
      <c r="F200" s="196" t="s">
        <v>416</v>
      </c>
      <c r="G200" s="197" t="s">
        <v>109</v>
      </c>
      <c r="H200" s="437">
        <f>'прил13(ведом 20-21)'!M364</f>
        <v>80</v>
      </c>
      <c r="I200" s="437">
        <f>'прил13(ведом 20-21)'!N364</f>
        <v>80</v>
      </c>
    </row>
    <row r="201" spans="1:9" ht="18.75">
      <c r="A201" s="460"/>
      <c r="B201" s="438"/>
      <c r="C201" s="402"/>
      <c r="D201" s="553"/>
      <c r="E201" s="553"/>
      <c r="F201" s="554"/>
      <c r="G201" s="422"/>
      <c r="H201" s="437"/>
      <c r="I201" s="437"/>
    </row>
    <row r="202" spans="1:9" s="435" customFormat="1" ht="56.25">
      <c r="A202" s="441">
        <v>9</v>
      </c>
      <c r="B202" s="455" t="s">
        <v>156</v>
      </c>
      <c r="C202" s="442" t="s">
        <v>123</v>
      </c>
      <c r="D202" s="442" t="s">
        <v>95</v>
      </c>
      <c r="E202" s="442" t="s">
        <v>96</v>
      </c>
      <c r="F202" s="443" t="s">
        <v>97</v>
      </c>
      <c r="G202" s="493"/>
      <c r="H202" s="434">
        <f>H203</f>
        <v>11958.5</v>
      </c>
      <c r="I202" s="434">
        <f>I203</f>
        <v>11958.5</v>
      </c>
    </row>
    <row r="203" spans="1:9" ht="37.5">
      <c r="A203" s="423"/>
      <c r="B203" s="436" t="s">
        <v>491</v>
      </c>
      <c r="C203" s="194" t="s">
        <v>123</v>
      </c>
      <c r="D203" s="195" t="s">
        <v>98</v>
      </c>
      <c r="E203" s="195" t="s">
        <v>96</v>
      </c>
      <c r="F203" s="196" t="s">
        <v>97</v>
      </c>
      <c r="G203" s="451"/>
      <c r="H203" s="437">
        <f>H204+H207</f>
        <v>11958.5</v>
      </c>
      <c r="I203" s="437">
        <f>I204+I207</f>
        <v>11958.5</v>
      </c>
    </row>
    <row r="204" spans="1:9" ht="37.5">
      <c r="A204" s="423"/>
      <c r="B204" s="436" t="s">
        <v>157</v>
      </c>
      <c r="C204" s="194" t="s">
        <v>123</v>
      </c>
      <c r="D204" s="195" t="s">
        <v>98</v>
      </c>
      <c r="E204" s="195" t="s">
        <v>90</v>
      </c>
      <c r="F204" s="196" t="s">
        <v>97</v>
      </c>
      <c r="G204" s="451"/>
      <c r="H204" s="437">
        <f>H205</f>
        <v>11860</v>
      </c>
      <c r="I204" s="437">
        <f>I205</f>
        <v>11860</v>
      </c>
    </row>
    <row r="205" spans="1:9" ht="159" customHeight="1">
      <c r="A205" s="423"/>
      <c r="B205" s="397" t="s">
        <v>587</v>
      </c>
      <c r="C205" s="194" t="s">
        <v>123</v>
      </c>
      <c r="D205" s="195" t="s">
        <v>98</v>
      </c>
      <c r="E205" s="195" t="s">
        <v>90</v>
      </c>
      <c r="F205" s="196" t="s">
        <v>158</v>
      </c>
      <c r="G205" s="197"/>
      <c r="H205" s="437">
        <f>H206</f>
        <v>11860</v>
      </c>
      <c r="I205" s="437">
        <f>I206</f>
        <v>11860</v>
      </c>
    </row>
    <row r="206" spans="1:9" ht="18.75">
      <c r="A206" s="423"/>
      <c r="B206" s="436" t="s">
        <v>110</v>
      </c>
      <c r="C206" s="194" t="s">
        <v>123</v>
      </c>
      <c r="D206" s="195" t="s">
        <v>98</v>
      </c>
      <c r="E206" s="195" t="s">
        <v>90</v>
      </c>
      <c r="F206" s="196" t="s">
        <v>158</v>
      </c>
      <c r="G206" s="197" t="s">
        <v>111</v>
      </c>
      <c r="H206" s="437">
        <f>'прил13(ведом 20-21)'!M78</f>
        <v>11860</v>
      </c>
      <c r="I206" s="437">
        <f>'прил13(ведом 20-21)'!N78</f>
        <v>11860</v>
      </c>
    </row>
    <row r="207" spans="1:9" ht="56.25">
      <c r="A207" s="423"/>
      <c r="B207" s="436" t="s">
        <v>159</v>
      </c>
      <c r="C207" s="194" t="s">
        <v>123</v>
      </c>
      <c r="D207" s="195" t="s">
        <v>98</v>
      </c>
      <c r="E207" s="195" t="s">
        <v>92</v>
      </c>
      <c r="F207" s="196" t="s">
        <v>97</v>
      </c>
      <c r="G207" s="197"/>
      <c r="H207" s="437">
        <f>H208</f>
        <v>98.5</v>
      </c>
      <c r="I207" s="437">
        <f>I208</f>
        <v>98.5</v>
      </c>
    </row>
    <row r="208" spans="1:9" ht="133.15" customHeight="1">
      <c r="A208" s="423"/>
      <c r="B208" s="397" t="s">
        <v>602</v>
      </c>
      <c r="C208" s="194" t="s">
        <v>123</v>
      </c>
      <c r="D208" s="195" t="s">
        <v>98</v>
      </c>
      <c r="E208" s="195" t="s">
        <v>92</v>
      </c>
      <c r="F208" s="196" t="s">
        <v>160</v>
      </c>
      <c r="G208" s="197"/>
      <c r="H208" s="437">
        <f>H209</f>
        <v>98.5</v>
      </c>
      <c r="I208" s="437">
        <f>I209</f>
        <v>98.5</v>
      </c>
    </row>
    <row r="209" spans="1:9" ht="37.5">
      <c r="A209" s="423"/>
      <c r="B209" s="436" t="s">
        <v>108</v>
      </c>
      <c r="C209" s="194" t="s">
        <v>123</v>
      </c>
      <c r="D209" s="195" t="s">
        <v>98</v>
      </c>
      <c r="E209" s="195" t="s">
        <v>92</v>
      </c>
      <c r="F209" s="196" t="s">
        <v>160</v>
      </c>
      <c r="G209" s="197" t="s">
        <v>109</v>
      </c>
      <c r="H209" s="437">
        <f>'прил13(ведом 20-21)'!M81</f>
        <v>98.5</v>
      </c>
      <c r="I209" s="437">
        <f>'прил13(ведом 20-21)'!N81</f>
        <v>98.5</v>
      </c>
    </row>
    <row r="210" spans="1:9" ht="18.75">
      <c r="A210" s="423"/>
      <c r="B210" s="440"/>
      <c r="C210" s="553"/>
      <c r="D210" s="553"/>
      <c r="E210" s="553"/>
      <c r="F210" s="554"/>
      <c r="G210" s="422"/>
      <c r="H210" s="437"/>
      <c r="I210" s="437"/>
    </row>
    <row r="211" spans="1:9" s="435" customFormat="1" ht="56.25">
      <c r="A211" s="441">
        <v>10</v>
      </c>
      <c r="B211" s="455" t="s">
        <v>162</v>
      </c>
      <c r="C211" s="442" t="s">
        <v>163</v>
      </c>
      <c r="D211" s="442" t="s">
        <v>95</v>
      </c>
      <c r="E211" s="442" t="s">
        <v>96</v>
      </c>
      <c r="F211" s="443" t="s">
        <v>97</v>
      </c>
      <c r="G211" s="433"/>
      <c r="H211" s="434">
        <f t="shared" ref="H211:I214" si="4">H212</f>
        <v>4174.1000000000004</v>
      </c>
      <c r="I211" s="434">
        <f t="shared" si="4"/>
        <v>4240.8</v>
      </c>
    </row>
    <row r="212" spans="1:9" s="435" customFormat="1" ht="37.5">
      <c r="A212" s="423"/>
      <c r="B212" s="436" t="s">
        <v>491</v>
      </c>
      <c r="C212" s="194" t="s">
        <v>163</v>
      </c>
      <c r="D212" s="195" t="s">
        <v>98</v>
      </c>
      <c r="E212" s="195" t="s">
        <v>96</v>
      </c>
      <c r="F212" s="196" t="s">
        <v>97</v>
      </c>
      <c r="G212" s="197"/>
      <c r="H212" s="437">
        <f t="shared" si="4"/>
        <v>4174.1000000000004</v>
      </c>
      <c r="I212" s="437">
        <f t="shared" si="4"/>
        <v>4240.8</v>
      </c>
    </row>
    <row r="213" spans="1:9" s="435" customFormat="1" ht="75">
      <c r="A213" s="423"/>
      <c r="B213" s="436" t="s">
        <v>164</v>
      </c>
      <c r="C213" s="194" t="s">
        <v>163</v>
      </c>
      <c r="D213" s="195" t="s">
        <v>98</v>
      </c>
      <c r="E213" s="195" t="s">
        <v>90</v>
      </c>
      <c r="F213" s="196" t="s">
        <v>97</v>
      </c>
      <c r="G213" s="197"/>
      <c r="H213" s="437">
        <f t="shared" si="4"/>
        <v>4174.1000000000004</v>
      </c>
      <c r="I213" s="437">
        <f t="shared" si="4"/>
        <v>4240.8</v>
      </c>
    </row>
    <row r="214" spans="1:9" s="435" customFormat="1" ht="75">
      <c r="A214" s="423"/>
      <c r="B214" s="444" t="s">
        <v>165</v>
      </c>
      <c r="C214" s="194" t="s">
        <v>163</v>
      </c>
      <c r="D214" s="195" t="s">
        <v>98</v>
      </c>
      <c r="E214" s="195" t="s">
        <v>90</v>
      </c>
      <c r="F214" s="196" t="s">
        <v>166</v>
      </c>
      <c r="G214" s="197"/>
      <c r="H214" s="437">
        <f t="shared" si="4"/>
        <v>4174.1000000000004</v>
      </c>
      <c r="I214" s="437">
        <f t="shared" si="4"/>
        <v>4240.8</v>
      </c>
    </row>
    <row r="215" spans="1:9" ht="37.5">
      <c r="A215" s="423"/>
      <c r="B215" s="436" t="s">
        <v>108</v>
      </c>
      <c r="C215" s="194" t="s">
        <v>163</v>
      </c>
      <c r="D215" s="195" t="s">
        <v>98</v>
      </c>
      <c r="E215" s="195" t="s">
        <v>90</v>
      </c>
      <c r="F215" s="196" t="s">
        <v>166</v>
      </c>
      <c r="G215" s="197" t="s">
        <v>109</v>
      </c>
      <c r="H215" s="437">
        <f>'прил13(ведом 20-21)'!M87</f>
        <v>4174.1000000000004</v>
      </c>
      <c r="I215" s="437">
        <f>'прил13(ведом 20-21)'!N87</f>
        <v>4240.8</v>
      </c>
    </row>
    <row r="216" spans="1:9" ht="18.75">
      <c r="A216" s="423"/>
      <c r="B216" s="397"/>
      <c r="C216" s="194"/>
      <c r="D216" s="195"/>
      <c r="E216" s="195"/>
      <c r="F216" s="196"/>
      <c r="G216" s="197"/>
      <c r="H216" s="437"/>
      <c r="I216" s="437"/>
    </row>
    <row r="217" spans="1:9" ht="75">
      <c r="A217" s="441">
        <v>11</v>
      </c>
      <c r="B217" s="897" t="s">
        <v>179</v>
      </c>
      <c r="C217" s="614" t="s">
        <v>149</v>
      </c>
      <c r="D217" s="615" t="s">
        <v>95</v>
      </c>
      <c r="E217" s="615" t="s">
        <v>96</v>
      </c>
      <c r="F217" s="616" t="s">
        <v>97</v>
      </c>
      <c r="G217" s="214"/>
      <c r="H217" s="434">
        <f t="shared" ref="H217:I220" si="5">H218</f>
        <v>39</v>
      </c>
      <c r="I217" s="434">
        <f t="shared" si="5"/>
        <v>39</v>
      </c>
    </row>
    <row r="218" spans="1:9" ht="37.5">
      <c r="A218" s="423"/>
      <c r="B218" s="149" t="s">
        <v>491</v>
      </c>
      <c r="C218" s="878" t="s">
        <v>149</v>
      </c>
      <c r="D218" s="879" t="s">
        <v>98</v>
      </c>
      <c r="E218" s="879" t="s">
        <v>96</v>
      </c>
      <c r="F218" s="880" t="s">
        <v>97</v>
      </c>
      <c r="G218" s="197"/>
      <c r="H218" s="437">
        <f t="shared" si="5"/>
        <v>39</v>
      </c>
      <c r="I218" s="437">
        <f t="shared" si="5"/>
        <v>39</v>
      </c>
    </row>
    <row r="219" spans="1:9" ht="56.25">
      <c r="A219" s="423"/>
      <c r="B219" s="156" t="s">
        <v>431</v>
      </c>
      <c r="C219" s="878" t="s">
        <v>149</v>
      </c>
      <c r="D219" s="879" t="s">
        <v>98</v>
      </c>
      <c r="E219" s="879" t="s">
        <v>90</v>
      </c>
      <c r="F219" s="880" t="s">
        <v>97</v>
      </c>
      <c r="G219" s="197"/>
      <c r="H219" s="437">
        <f t="shared" si="5"/>
        <v>39</v>
      </c>
      <c r="I219" s="437">
        <f t="shared" si="5"/>
        <v>39</v>
      </c>
    </row>
    <row r="220" spans="1:9" ht="56.25">
      <c r="A220" s="423"/>
      <c r="B220" s="724" t="s">
        <v>644</v>
      </c>
      <c r="C220" s="878" t="s">
        <v>149</v>
      </c>
      <c r="D220" s="879" t="s">
        <v>98</v>
      </c>
      <c r="E220" s="879" t="s">
        <v>90</v>
      </c>
      <c r="F220" s="880" t="s">
        <v>643</v>
      </c>
      <c r="G220" s="197"/>
      <c r="H220" s="437">
        <f t="shared" si="5"/>
        <v>39</v>
      </c>
      <c r="I220" s="437">
        <f t="shared" si="5"/>
        <v>39</v>
      </c>
    </row>
    <row r="221" spans="1:9" ht="37.5">
      <c r="A221" s="423"/>
      <c r="B221" s="724" t="s">
        <v>108</v>
      </c>
      <c r="C221" s="878" t="s">
        <v>149</v>
      </c>
      <c r="D221" s="879" t="s">
        <v>98</v>
      </c>
      <c r="E221" s="879" t="s">
        <v>90</v>
      </c>
      <c r="F221" s="880" t="s">
        <v>643</v>
      </c>
      <c r="G221" s="197" t="s">
        <v>109</v>
      </c>
      <c r="H221" s="437">
        <f>'прил13(ведом 20-21)'!M93</f>
        <v>39</v>
      </c>
      <c r="I221" s="437">
        <f>'прил13(ведом 20-21)'!N93</f>
        <v>39</v>
      </c>
    </row>
    <row r="222" spans="1:9" ht="18.75">
      <c r="A222" s="423"/>
      <c r="B222" s="724"/>
      <c r="C222" s="879"/>
      <c r="D222" s="879"/>
      <c r="E222" s="879"/>
      <c r="F222" s="880"/>
      <c r="G222" s="197"/>
      <c r="H222" s="437"/>
      <c r="I222" s="437"/>
    </row>
    <row r="223" spans="1:9" s="435" customFormat="1" ht="56.25">
      <c r="A223" s="441">
        <v>12</v>
      </c>
      <c r="B223" s="455" t="s">
        <v>93</v>
      </c>
      <c r="C223" s="442" t="s">
        <v>94</v>
      </c>
      <c r="D223" s="442" t="s">
        <v>95</v>
      </c>
      <c r="E223" s="442" t="s">
        <v>96</v>
      </c>
      <c r="F223" s="443" t="s">
        <v>97</v>
      </c>
      <c r="G223" s="433"/>
      <c r="H223" s="434">
        <f>H224</f>
        <v>72502.600000000006</v>
      </c>
      <c r="I223" s="434">
        <f>I224</f>
        <v>70538.099999999991</v>
      </c>
    </row>
    <row r="224" spans="1:9" s="435" customFormat="1" ht="37.5">
      <c r="A224" s="423"/>
      <c r="B224" s="436" t="s">
        <v>491</v>
      </c>
      <c r="C224" s="194" t="s">
        <v>94</v>
      </c>
      <c r="D224" s="195" t="s">
        <v>98</v>
      </c>
      <c r="E224" s="195" t="s">
        <v>96</v>
      </c>
      <c r="F224" s="196" t="s">
        <v>97</v>
      </c>
      <c r="G224" s="197"/>
      <c r="H224" s="437">
        <f>H225+H228+H245+H249+H252</f>
        <v>72502.600000000006</v>
      </c>
      <c r="I224" s="437">
        <f>I225+I228+I245+I252+I249</f>
        <v>70538.099999999991</v>
      </c>
    </row>
    <row r="225" spans="1:9" s="435" customFormat="1" ht="37.5">
      <c r="A225" s="423"/>
      <c r="B225" s="436" t="s">
        <v>99</v>
      </c>
      <c r="C225" s="194" t="s">
        <v>94</v>
      </c>
      <c r="D225" s="195" t="s">
        <v>98</v>
      </c>
      <c r="E225" s="195" t="s">
        <v>90</v>
      </c>
      <c r="F225" s="196" t="s">
        <v>97</v>
      </c>
      <c r="G225" s="197"/>
      <c r="H225" s="437">
        <f>H226</f>
        <v>1971.5</v>
      </c>
      <c r="I225" s="437">
        <f>I226</f>
        <v>1971.5</v>
      </c>
    </row>
    <row r="226" spans="1:9" s="435" customFormat="1" ht="37.5">
      <c r="A226" s="423"/>
      <c r="B226" s="436" t="s">
        <v>100</v>
      </c>
      <c r="C226" s="194" t="s">
        <v>94</v>
      </c>
      <c r="D226" s="195" t="s">
        <v>98</v>
      </c>
      <c r="E226" s="195" t="s">
        <v>90</v>
      </c>
      <c r="F226" s="196" t="s">
        <v>101</v>
      </c>
      <c r="G226" s="197"/>
      <c r="H226" s="437">
        <f>H227</f>
        <v>1971.5</v>
      </c>
      <c r="I226" s="437">
        <f>I227</f>
        <v>1971.5</v>
      </c>
    </row>
    <row r="227" spans="1:9" s="435" customFormat="1" ht="93.75">
      <c r="A227" s="423"/>
      <c r="B227" s="436" t="s">
        <v>102</v>
      </c>
      <c r="C227" s="194" t="s">
        <v>94</v>
      </c>
      <c r="D227" s="195" t="s">
        <v>98</v>
      </c>
      <c r="E227" s="195" t="s">
        <v>90</v>
      </c>
      <c r="F227" s="196" t="s">
        <v>101</v>
      </c>
      <c r="G227" s="197" t="s">
        <v>103</v>
      </c>
      <c r="H227" s="437">
        <f>'прил13(ведом 20-21)'!M23</f>
        <v>1971.5</v>
      </c>
      <c r="I227" s="437">
        <f>'прил13(ведом 20-21)'!N23</f>
        <v>1971.5</v>
      </c>
    </row>
    <row r="228" spans="1:9" s="435" customFormat="1" ht="37.5">
      <c r="A228" s="423"/>
      <c r="B228" s="436" t="s">
        <v>107</v>
      </c>
      <c r="C228" s="194" t="s">
        <v>94</v>
      </c>
      <c r="D228" s="195" t="s">
        <v>98</v>
      </c>
      <c r="E228" s="195" t="s">
        <v>92</v>
      </c>
      <c r="F228" s="196" t="s">
        <v>97</v>
      </c>
      <c r="G228" s="197"/>
      <c r="H228" s="437">
        <f>H229+H234+H236+H238+H241+H243+H232</f>
        <v>61207.700000000004</v>
      </c>
      <c r="I228" s="437">
        <f>I229+I234+I236+I238+I241+I243+I232</f>
        <v>59369.2</v>
      </c>
    </row>
    <row r="229" spans="1:9" s="435" customFormat="1" ht="37.5">
      <c r="A229" s="423"/>
      <c r="B229" s="436" t="s">
        <v>100</v>
      </c>
      <c r="C229" s="194" t="s">
        <v>94</v>
      </c>
      <c r="D229" s="195" t="s">
        <v>98</v>
      </c>
      <c r="E229" s="195" t="s">
        <v>92</v>
      </c>
      <c r="F229" s="196" t="s">
        <v>101</v>
      </c>
      <c r="G229" s="197"/>
      <c r="H229" s="437">
        <f>SUM(H230:H231)</f>
        <v>57331.8</v>
      </c>
      <c r="I229" s="437">
        <f>SUM(I230:I231)</f>
        <v>55499.4</v>
      </c>
    </row>
    <row r="230" spans="1:9" s="435" customFormat="1" ht="93.75">
      <c r="A230" s="423"/>
      <c r="B230" s="436" t="s">
        <v>102</v>
      </c>
      <c r="C230" s="194" t="s">
        <v>94</v>
      </c>
      <c r="D230" s="195" t="s">
        <v>98</v>
      </c>
      <c r="E230" s="195" t="s">
        <v>92</v>
      </c>
      <c r="F230" s="196" t="s">
        <v>101</v>
      </c>
      <c r="G230" s="197" t="s">
        <v>103</v>
      </c>
      <c r="H230" s="437">
        <f>'прил13(ведом 20-21)'!M29</f>
        <v>55499.4</v>
      </c>
      <c r="I230" s="437">
        <f>'прил13(ведом 20-21)'!N29</f>
        <v>55499.4</v>
      </c>
    </row>
    <row r="231" spans="1:9" ht="37.5">
      <c r="A231" s="423"/>
      <c r="B231" s="436" t="s">
        <v>108</v>
      </c>
      <c r="C231" s="194" t="s">
        <v>94</v>
      </c>
      <c r="D231" s="195" t="s">
        <v>98</v>
      </c>
      <c r="E231" s="195" t="s">
        <v>92</v>
      </c>
      <c r="F231" s="196" t="s">
        <v>101</v>
      </c>
      <c r="G231" s="197" t="s">
        <v>109</v>
      </c>
      <c r="H231" s="437">
        <f>'прил13(ведом 20-21)'!M30</f>
        <v>1832.4</v>
      </c>
      <c r="I231" s="437">
        <f>'прил13(ведом 20-21)'!N30</f>
        <v>0</v>
      </c>
    </row>
    <row r="232" spans="1:9" s="435" customFormat="1" ht="75">
      <c r="A232" s="423"/>
      <c r="B232" s="397" t="s">
        <v>636</v>
      </c>
      <c r="C232" s="194" t="s">
        <v>94</v>
      </c>
      <c r="D232" s="195" t="s">
        <v>98</v>
      </c>
      <c r="E232" s="195" t="s">
        <v>92</v>
      </c>
      <c r="F232" s="196" t="s">
        <v>635</v>
      </c>
      <c r="G232" s="197"/>
      <c r="H232" s="437">
        <f>H233</f>
        <v>10.8</v>
      </c>
      <c r="I232" s="437">
        <f>I233</f>
        <v>4.7</v>
      </c>
    </row>
    <row r="233" spans="1:9" s="435" customFormat="1" ht="37.5">
      <c r="A233" s="423"/>
      <c r="B233" s="397" t="s">
        <v>108</v>
      </c>
      <c r="C233" s="194" t="s">
        <v>94</v>
      </c>
      <c r="D233" s="195" t="s">
        <v>98</v>
      </c>
      <c r="E233" s="195" t="s">
        <v>92</v>
      </c>
      <c r="F233" s="196" t="s">
        <v>635</v>
      </c>
      <c r="G233" s="197" t="s">
        <v>109</v>
      </c>
      <c r="H233" s="437">
        <f>'прил13(ведом 20-21)'!M47</f>
        <v>10.8</v>
      </c>
      <c r="I233" s="437">
        <f>'прил13(ведом 20-21)'!N47</f>
        <v>4.7</v>
      </c>
    </row>
    <row r="234" spans="1:9" ht="93.75">
      <c r="A234" s="423"/>
      <c r="B234" s="436" t="s">
        <v>117</v>
      </c>
      <c r="C234" s="194" t="s">
        <v>94</v>
      </c>
      <c r="D234" s="195" t="s">
        <v>98</v>
      </c>
      <c r="E234" s="195" t="s">
        <v>92</v>
      </c>
      <c r="F234" s="196" t="s">
        <v>370</v>
      </c>
      <c r="G234" s="197"/>
      <c r="H234" s="437">
        <f>H235</f>
        <v>66</v>
      </c>
      <c r="I234" s="437">
        <f>I235</f>
        <v>66</v>
      </c>
    </row>
    <row r="235" spans="1:9" ht="37.5">
      <c r="A235" s="423"/>
      <c r="B235" s="436" t="s">
        <v>108</v>
      </c>
      <c r="C235" s="194" t="s">
        <v>94</v>
      </c>
      <c r="D235" s="195" t="s">
        <v>98</v>
      </c>
      <c r="E235" s="195" t="s">
        <v>92</v>
      </c>
      <c r="F235" s="196" t="s">
        <v>370</v>
      </c>
      <c r="G235" s="197" t="s">
        <v>109</v>
      </c>
      <c r="H235" s="437">
        <f>'прил13(ведом 20-21)'!M32</f>
        <v>66</v>
      </c>
      <c r="I235" s="437">
        <f>'прил13(ведом 20-21)'!N32</f>
        <v>66</v>
      </c>
    </row>
    <row r="236" spans="1:9" ht="18.75">
      <c r="A236" s="423"/>
      <c r="B236" s="397" t="s">
        <v>809</v>
      </c>
      <c r="C236" s="194" t="s">
        <v>94</v>
      </c>
      <c r="D236" s="195" t="s">
        <v>98</v>
      </c>
      <c r="E236" s="195" t="s">
        <v>92</v>
      </c>
      <c r="F236" s="196" t="s">
        <v>112</v>
      </c>
      <c r="G236" s="197"/>
      <c r="H236" s="437">
        <f>H237</f>
        <v>617.1</v>
      </c>
      <c r="I236" s="437">
        <f>I237</f>
        <v>617.1</v>
      </c>
    </row>
    <row r="237" spans="1:9" ht="93.75">
      <c r="A237" s="423"/>
      <c r="B237" s="436" t="s">
        <v>102</v>
      </c>
      <c r="C237" s="194" t="s">
        <v>94</v>
      </c>
      <c r="D237" s="195" t="s">
        <v>98</v>
      </c>
      <c r="E237" s="195" t="s">
        <v>92</v>
      </c>
      <c r="F237" s="196" t="s">
        <v>112</v>
      </c>
      <c r="G237" s="197" t="s">
        <v>103</v>
      </c>
      <c r="H237" s="437">
        <f>'прил13(ведом 20-21)'!M34</f>
        <v>617.1</v>
      </c>
      <c r="I237" s="437">
        <f>'прил13(ведом 20-21)'!N34</f>
        <v>617.1</v>
      </c>
    </row>
    <row r="238" spans="1:9" ht="75">
      <c r="A238" s="423"/>
      <c r="B238" s="436" t="s">
        <v>113</v>
      </c>
      <c r="C238" s="194" t="s">
        <v>94</v>
      </c>
      <c r="D238" s="195" t="s">
        <v>98</v>
      </c>
      <c r="E238" s="195" t="s">
        <v>92</v>
      </c>
      <c r="F238" s="196" t="s">
        <v>114</v>
      </c>
      <c r="G238" s="197"/>
      <c r="H238" s="437">
        <f>SUM(H239:H240)</f>
        <v>2498.7000000000003</v>
      </c>
      <c r="I238" s="437">
        <f>SUM(I239:I240)</f>
        <v>2498.7000000000003</v>
      </c>
    </row>
    <row r="239" spans="1:9" ht="93.75">
      <c r="A239" s="423"/>
      <c r="B239" s="436" t="s">
        <v>102</v>
      </c>
      <c r="C239" s="194" t="s">
        <v>94</v>
      </c>
      <c r="D239" s="195" t="s">
        <v>98</v>
      </c>
      <c r="E239" s="195" t="s">
        <v>92</v>
      </c>
      <c r="F239" s="196" t="s">
        <v>114</v>
      </c>
      <c r="G239" s="197" t="s">
        <v>103</v>
      </c>
      <c r="H239" s="437">
        <f>'прил13(ведом 20-21)'!M36</f>
        <v>2399.8000000000002</v>
      </c>
      <c r="I239" s="437">
        <f>'прил13(ведом 20-21)'!N36</f>
        <v>2399.8000000000002</v>
      </c>
    </row>
    <row r="240" spans="1:9" ht="37.5">
      <c r="A240" s="423"/>
      <c r="B240" s="436" t="s">
        <v>108</v>
      </c>
      <c r="C240" s="195" t="s">
        <v>94</v>
      </c>
      <c r="D240" s="195" t="s">
        <v>98</v>
      </c>
      <c r="E240" s="195" t="s">
        <v>92</v>
      </c>
      <c r="F240" s="196" t="s">
        <v>114</v>
      </c>
      <c r="G240" s="197" t="s">
        <v>109</v>
      </c>
      <c r="H240" s="437">
        <f>'прил13(ведом 20-21)'!M37</f>
        <v>98.9</v>
      </c>
      <c r="I240" s="437">
        <f>'прил13(ведом 20-21)'!N37</f>
        <v>98.9</v>
      </c>
    </row>
    <row r="241" spans="1:9" ht="56.25">
      <c r="A241" s="423"/>
      <c r="B241" s="436" t="s">
        <v>115</v>
      </c>
      <c r="C241" s="194" t="s">
        <v>94</v>
      </c>
      <c r="D241" s="195" t="s">
        <v>98</v>
      </c>
      <c r="E241" s="195" t="s">
        <v>92</v>
      </c>
      <c r="F241" s="196" t="s">
        <v>116</v>
      </c>
      <c r="G241" s="197"/>
      <c r="H241" s="437">
        <f>H242</f>
        <v>617.29999999999995</v>
      </c>
      <c r="I241" s="437">
        <f>I242</f>
        <v>617.29999999999995</v>
      </c>
    </row>
    <row r="242" spans="1:9" ht="93.75">
      <c r="A242" s="423"/>
      <c r="B242" s="436" t="s">
        <v>102</v>
      </c>
      <c r="C242" s="194" t="s">
        <v>94</v>
      </c>
      <c r="D242" s="195" t="s">
        <v>98</v>
      </c>
      <c r="E242" s="195" t="s">
        <v>92</v>
      </c>
      <c r="F242" s="196" t="s">
        <v>116</v>
      </c>
      <c r="G242" s="197" t="s">
        <v>103</v>
      </c>
      <c r="H242" s="437">
        <f>'прил13(ведом 20-21)'!M39</f>
        <v>617.29999999999995</v>
      </c>
      <c r="I242" s="437">
        <f>'прил13(ведом 20-21)'!N39</f>
        <v>617.29999999999995</v>
      </c>
    </row>
    <row r="243" spans="1:9" ht="147" customHeight="1">
      <c r="A243" s="423"/>
      <c r="B243" s="397" t="s">
        <v>584</v>
      </c>
      <c r="C243" s="194" t="s">
        <v>94</v>
      </c>
      <c r="D243" s="195" t="s">
        <v>98</v>
      </c>
      <c r="E243" s="195" t="s">
        <v>92</v>
      </c>
      <c r="F243" s="196" t="s">
        <v>583</v>
      </c>
      <c r="G243" s="197"/>
      <c r="H243" s="437">
        <f>H244</f>
        <v>66</v>
      </c>
      <c r="I243" s="437">
        <f>I244</f>
        <v>66</v>
      </c>
    </row>
    <row r="244" spans="1:9" ht="37.5">
      <c r="A244" s="423"/>
      <c r="B244" s="397" t="s">
        <v>108</v>
      </c>
      <c r="C244" s="194" t="s">
        <v>94</v>
      </c>
      <c r="D244" s="195" t="s">
        <v>98</v>
      </c>
      <c r="E244" s="195" t="s">
        <v>92</v>
      </c>
      <c r="F244" s="196" t="s">
        <v>583</v>
      </c>
      <c r="G244" s="197" t="s">
        <v>109</v>
      </c>
      <c r="H244" s="437">
        <f>'прил13(ведом 20-21)'!M41</f>
        <v>66</v>
      </c>
      <c r="I244" s="437">
        <f>'прил13(ведом 20-21)'!N41</f>
        <v>66</v>
      </c>
    </row>
    <row r="245" spans="1:9" ht="51" customHeight="1">
      <c r="A245" s="460"/>
      <c r="B245" s="465" t="s">
        <v>420</v>
      </c>
      <c r="C245" s="448" t="s">
        <v>94</v>
      </c>
      <c r="D245" s="402" t="s">
        <v>98</v>
      </c>
      <c r="E245" s="402" t="s">
        <v>141</v>
      </c>
      <c r="F245" s="403" t="s">
        <v>97</v>
      </c>
      <c r="G245" s="404"/>
      <c r="H245" s="437">
        <f>H246</f>
        <v>5109.8999999999996</v>
      </c>
      <c r="I245" s="437">
        <f>I246</f>
        <v>5038.7</v>
      </c>
    </row>
    <row r="246" spans="1:9" ht="75">
      <c r="A246" s="460"/>
      <c r="B246" s="465" t="s">
        <v>151</v>
      </c>
      <c r="C246" s="448" t="s">
        <v>94</v>
      </c>
      <c r="D246" s="402" t="s">
        <v>98</v>
      </c>
      <c r="E246" s="402" t="s">
        <v>141</v>
      </c>
      <c r="F246" s="403" t="s">
        <v>153</v>
      </c>
      <c r="G246" s="404"/>
      <c r="H246" s="437">
        <f>SUM(H247:H248)</f>
        <v>5109.8999999999996</v>
      </c>
      <c r="I246" s="437">
        <f>SUM(I247:I248)</f>
        <v>5038.7</v>
      </c>
    </row>
    <row r="247" spans="1:9" ht="93.75">
      <c r="A247" s="460"/>
      <c r="B247" s="465" t="s">
        <v>102</v>
      </c>
      <c r="C247" s="448" t="s">
        <v>94</v>
      </c>
      <c r="D247" s="402" t="s">
        <v>98</v>
      </c>
      <c r="E247" s="402" t="s">
        <v>141</v>
      </c>
      <c r="F247" s="403" t="s">
        <v>153</v>
      </c>
      <c r="G247" s="404" t="s">
        <v>103</v>
      </c>
      <c r="H247" s="437">
        <f>'прил13(ведом 20-21)'!M153</f>
        <v>5038.7</v>
      </c>
      <c r="I247" s="437">
        <f>'прил13(ведом 20-21)'!N153</f>
        <v>5038.7</v>
      </c>
    </row>
    <row r="248" spans="1:9" ht="37.5">
      <c r="A248" s="460"/>
      <c r="B248" s="397" t="s">
        <v>108</v>
      </c>
      <c r="C248" s="448" t="s">
        <v>94</v>
      </c>
      <c r="D248" s="402" t="s">
        <v>98</v>
      </c>
      <c r="E248" s="402" t="s">
        <v>141</v>
      </c>
      <c r="F248" s="403" t="s">
        <v>153</v>
      </c>
      <c r="G248" s="404" t="s">
        <v>109</v>
      </c>
      <c r="H248" s="437">
        <f>'прил13(ведом 20-21)'!M154</f>
        <v>71.2</v>
      </c>
      <c r="I248" s="437">
        <f>'прил13(ведом 20-21)'!N154</f>
        <v>0</v>
      </c>
    </row>
    <row r="249" spans="1:9" ht="56.25">
      <c r="A249" s="460"/>
      <c r="B249" s="397" t="s">
        <v>610</v>
      </c>
      <c r="C249" s="448" t="s">
        <v>94</v>
      </c>
      <c r="D249" s="402" t="s">
        <v>98</v>
      </c>
      <c r="E249" s="402" t="s">
        <v>139</v>
      </c>
      <c r="F249" s="403" t="s">
        <v>97</v>
      </c>
      <c r="G249" s="404"/>
      <c r="H249" s="437">
        <f>H250</f>
        <v>6.2</v>
      </c>
      <c r="I249" s="437">
        <f>I250</f>
        <v>0</v>
      </c>
    </row>
    <row r="250" spans="1:9" ht="18.75">
      <c r="A250" s="460"/>
      <c r="B250" s="397" t="s">
        <v>611</v>
      </c>
      <c r="C250" s="448" t="s">
        <v>94</v>
      </c>
      <c r="D250" s="402" t="s">
        <v>98</v>
      </c>
      <c r="E250" s="402" t="s">
        <v>139</v>
      </c>
      <c r="F250" s="403" t="s">
        <v>612</v>
      </c>
      <c r="G250" s="404"/>
      <c r="H250" s="437">
        <f>H251</f>
        <v>6.2</v>
      </c>
      <c r="I250" s="437">
        <f>I251</f>
        <v>0</v>
      </c>
    </row>
    <row r="251" spans="1:9" ht="37.5">
      <c r="A251" s="460"/>
      <c r="B251" s="397" t="s">
        <v>613</v>
      </c>
      <c r="C251" s="448" t="s">
        <v>94</v>
      </c>
      <c r="D251" s="402" t="s">
        <v>98</v>
      </c>
      <c r="E251" s="402" t="s">
        <v>139</v>
      </c>
      <c r="F251" s="403" t="s">
        <v>612</v>
      </c>
      <c r="G251" s="404" t="s">
        <v>614</v>
      </c>
      <c r="H251" s="437">
        <f>'прил13(ведом 20-21)'!M106</f>
        <v>6.2</v>
      </c>
      <c r="I251" s="437">
        <f>'прил13(ведом 20-21)'!N106</f>
        <v>0</v>
      </c>
    </row>
    <row r="252" spans="1:9" ht="37.5">
      <c r="A252" s="460"/>
      <c r="B252" s="397" t="s">
        <v>474</v>
      </c>
      <c r="C252" s="194" t="s">
        <v>94</v>
      </c>
      <c r="D252" s="195" t="s">
        <v>98</v>
      </c>
      <c r="E252" s="195" t="s">
        <v>149</v>
      </c>
      <c r="F252" s="196" t="s">
        <v>97</v>
      </c>
      <c r="G252" s="197"/>
      <c r="H252" s="437">
        <f>H253</f>
        <v>4207.3</v>
      </c>
      <c r="I252" s="437">
        <f>I253</f>
        <v>4158.7</v>
      </c>
    </row>
    <row r="253" spans="1:9" ht="75">
      <c r="A253" s="460"/>
      <c r="B253" s="491" t="s">
        <v>151</v>
      </c>
      <c r="C253" s="194" t="s">
        <v>94</v>
      </c>
      <c r="D253" s="195" t="s">
        <v>98</v>
      </c>
      <c r="E253" s="195" t="s">
        <v>149</v>
      </c>
      <c r="F253" s="196" t="s">
        <v>153</v>
      </c>
      <c r="G253" s="197"/>
      <c r="H253" s="437">
        <f>SUM(H254:H255)</f>
        <v>4207.3</v>
      </c>
      <c r="I253" s="437">
        <f>SUM(I254:I255)</f>
        <v>4158.7</v>
      </c>
    </row>
    <row r="254" spans="1:9" ht="93.75">
      <c r="A254" s="460"/>
      <c r="B254" s="397" t="s">
        <v>102</v>
      </c>
      <c r="C254" s="194" t="s">
        <v>94</v>
      </c>
      <c r="D254" s="195" t="s">
        <v>98</v>
      </c>
      <c r="E254" s="195" t="s">
        <v>149</v>
      </c>
      <c r="F254" s="196" t="s">
        <v>153</v>
      </c>
      <c r="G254" s="197" t="s">
        <v>103</v>
      </c>
      <c r="H254" s="437">
        <f>'прил13(ведом 20-21)'!M98</f>
        <v>4158.7</v>
      </c>
      <c r="I254" s="437">
        <f>'прил13(ведом 20-21)'!N98</f>
        <v>4158.7</v>
      </c>
    </row>
    <row r="255" spans="1:9" ht="37.5">
      <c r="A255" s="460"/>
      <c r="B255" s="397" t="s">
        <v>108</v>
      </c>
      <c r="C255" s="194" t="s">
        <v>94</v>
      </c>
      <c r="D255" s="195" t="s">
        <v>98</v>
      </c>
      <c r="E255" s="195" t="s">
        <v>149</v>
      </c>
      <c r="F255" s="196" t="s">
        <v>153</v>
      </c>
      <c r="G255" s="197" t="s">
        <v>109</v>
      </c>
      <c r="H255" s="437">
        <f>'прил13(ведом 20-21)'!M99</f>
        <v>48.6</v>
      </c>
      <c r="I255" s="437">
        <f>'прил13(ведом 20-21)'!N99</f>
        <v>0</v>
      </c>
    </row>
    <row r="256" spans="1:9" ht="18.75">
      <c r="A256" s="460"/>
      <c r="B256" s="465"/>
      <c r="C256" s="449"/>
      <c r="D256" s="402"/>
      <c r="E256" s="402"/>
      <c r="F256" s="403"/>
      <c r="G256" s="404"/>
      <c r="H256" s="437"/>
      <c r="I256" s="437"/>
    </row>
    <row r="257" spans="1:9" ht="37.5">
      <c r="A257" s="441">
        <v>13</v>
      </c>
      <c r="B257" s="494" t="s">
        <v>199</v>
      </c>
      <c r="C257" s="442" t="s">
        <v>200</v>
      </c>
      <c r="D257" s="442" t="s">
        <v>95</v>
      </c>
      <c r="E257" s="442" t="s">
        <v>96</v>
      </c>
      <c r="F257" s="442" t="s">
        <v>97</v>
      </c>
      <c r="G257" s="433"/>
      <c r="H257" s="434">
        <f>H258</f>
        <v>3798.6000000000004</v>
      </c>
      <c r="I257" s="434">
        <f>I258</f>
        <v>3798.6000000000004</v>
      </c>
    </row>
    <row r="258" spans="1:9" ht="56.25">
      <c r="A258" s="423"/>
      <c r="B258" s="445" t="s">
        <v>202</v>
      </c>
      <c r="C258" s="194" t="s">
        <v>200</v>
      </c>
      <c r="D258" s="195" t="s">
        <v>98</v>
      </c>
      <c r="E258" s="195" t="s">
        <v>96</v>
      </c>
      <c r="F258" s="196" t="s">
        <v>97</v>
      </c>
      <c r="G258" s="197"/>
      <c r="H258" s="437">
        <f>H259+H262</f>
        <v>3798.6000000000004</v>
      </c>
      <c r="I258" s="437">
        <f>I259+I262</f>
        <v>3798.6000000000004</v>
      </c>
    </row>
    <row r="259" spans="1:9" ht="37.5">
      <c r="A259" s="423"/>
      <c r="B259" s="436" t="s">
        <v>201</v>
      </c>
      <c r="C259" s="194" t="s">
        <v>200</v>
      </c>
      <c r="D259" s="195" t="s">
        <v>98</v>
      </c>
      <c r="E259" s="195" t="s">
        <v>90</v>
      </c>
      <c r="F259" s="196" t="s">
        <v>97</v>
      </c>
      <c r="G259" s="197"/>
      <c r="H259" s="437">
        <f>H260</f>
        <v>1182.7</v>
      </c>
      <c r="I259" s="437">
        <f>I260</f>
        <v>1182.7</v>
      </c>
    </row>
    <row r="260" spans="1:9" ht="37.5">
      <c r="A260" s="423"/>
      <c r="B260" s="436" t="s">
        <v>100</v>
      </c>
      <c r="C260" s="194" t="s">
        <v>200</v>
      </c>
      <c r="D260" s="195" t="s">
        <v>98</v>
      </c>
      <c r="E260" s="195" t="s">
        <v>90</v>
      </c>
      <c r="F260" s="196" t="s">
        <v>101</v>
      </c>
      <c r="G260" s="197"/>
      <c r="H260" s="437">
        <f>H261</f>
        <v>1182.7</v>
      </c>
      <c r="I260" s="437">
        <f>I261</f>
        <v>1182.7</v>
      </c>
    </row>
    <row r="261" spans="1:9" ht="93.75">
      <c r="A261" s="423"/>
      <c r="B261" s="445" t="s">
        <v>102</v>
      </c>
      <c r="C261" s="194" t="s">
        <v>200</v>
      </c>
      <c r="D261" s="195" t="s">
        <v>98</v>
      </c>
      <c r="E261" s="195" t="s">
        <v>90</v>
      </c>
      <c r="F261" s="196" t="s">
        <v>101</v>
      </c>
      <c r="G261" s="197" t="s">
        <v>103</v>
      </c>
      <c r="H261" s="437">
        <f>'прил13(ведом 20-21)'!M132</f>
        <v>1182.7</v>
      </c>
      <c r="I261" s="437">
        <f>'прил13(ведом 20-21)'!N132</f>
        <v>1182.7</v>
      </c>
    </row>
    <row r="262" spans="1:9" ht="37.5">
      <c r="A262" s="423"/>
      <c r="B262" s="436" t="s">
        <v>203</v>
      </c>
      <c r="C262" s="194" t="s">
        <v>200</v>
      </c>
      <c r="D262" s="195" t="s">
        <v>98</v>
      </c>
      <c r="E262" s="195" t="s">
        <v>92</v>
      </c>
      <c r="F262" s="196" t="s">
        <v>97</v>
      </c>
      <c r="G262" s="197"/>
      <c r="H262" s="437">
        <f>H263</f>
        <v>2615.9</v>
      </c>
      <c r="I262" s="437">
        <f>I263</f>
        <v>2615.9</v>
      </c>
    </row>
    <row r="263" spans="1:9" ht="37.5">
      <c r="A263" s="423"/>
      <c r="B263" s="436" t="s">
        <v>100</v>
      </c>
      <c r="C263" s="194" t="s">
        <v>200</v>
      </c>
      <c r="D263" s="195" t="s">
        <v>98</v>
      </c>
      <c r="E263" s="195" t="s">
        <v>92</v>
      </c>
      <c r="F263" s="196" t="s">
        <v>101</v>
      </c>
      <c r="G263" s="197"/>
      <c r="H263" s="437">
        <f>SUM(H264:H264)</f>
        <v>2615.9</v>
      </c>
      <c r="I263" s="437">
        <f>SUM(I264:I264)</f>
        <v>2615.9</v>
      </c>
    </row>
    <row r="264" spans="1:9" ht="93.75">
      <c r="A264" s="423"/>
      <c r="B264" s="436" t="s">
        <v>102</v>
      </c>
      <c r="C264" s="194" t="s">
        <v>200</v>
      </c>
      <c r="D264" s="195" t="s">
        <v>98</v>
      </c>
      <c r="E264" s="195" t="s">
        <v>92</v>
      </c>
      <c r="F264" s="196" t="s">
        <v>101</v>
      </c>
      <c r="G264" s="197" t="s">
        <v>103</v>
      </c>
      <c r="H264" s="437">
        <f>'прил13(ведом 20-21)'!M135</f>
        <v>2615.9</v>
      </c>
      <c r="I264" s="437">
        <f>'прил13(ведом 20-21)'!N135</f>
        <v>2615.9</v>
      </c>
    </row>
    <row r="265" spans="1:9" ht="18.75">
      <c r="A265" s="423"/>
      <c r="B265" s="440"/>
      <c r="C265" s="553"/>
      <c r="D265" s="553"/>
      <c r="E265" s="553"/>
      <c r="F265" s="553"/>
      <c r="G265" s="422"/>
      <c r="H265" s="437"/>
      <c r="I265" s="437"/>
    </row>
    <row r="266" spans="1:9" s="435" customFormat="1" ht="37.5">
      <c r="A266" s="441">
        <v>14</v>
      </c>
      <c r="B266" s="494" t="s">
        <v>124</v>
      </c>
      <c r="C266" s="442" t="s">
        <v>125</v>
      </c>
      <c r="D266" s="442" t="s">
        <v>95</v>
      </c>
      <c r="E266" s="442" t="s">
        <v>96</v>
      </c>
      <c r="F266" s="442" t="s">
        <v>97</v>
      </c>
      <c r="G266" s="433"/>
      <c r="H266" s="434">
        <f t="shared" ref="H266:I269" si="6">H267</f>
        <v>3000</v>
      </c>
      <c r="I266" s="434">
        <f t="shared" si="6"/>
        <v>3000</v>
      </c>
    </row>
    <row r="267" spans="1:9" ht="37.5">
      <c r="A267" s="423"/>
      <c r="B267" s="445" t="s">
        <v>126</v>
      </c>
      <c r="C267" s="194" t="s">
        <v>125</v>
      </c>
      <c r="D267" s="195" t="s">
        <v>98</v>
      </c>
      <c r="E267" s="195" t="s">
        <v>96</v>
      </c>
      <c r="F267" s="196" t="s">
        <v>97</v>
      </c>
      <c r="G267" s="197"/>
      <c r="H267" s="437">
        <f t="shared" si="6"/>
        <v>3000</v>
      </c>
      <c r="I267" s="437">
        <f t="shared" si="6"/>
        <v>3000</v>
      </c>
    </row>
    <row r="268" spans="1:9" ht="18.75">
      <c r="A268" s="423"/>
      <c r="B268" s="436" t="s">
        <v>122</v>
      </c>
      <c r="C268" s="194" t="s">
        <v>125</v>
      </c>
      <c r="D268" s="195" t="s">
        <v>98</v>
      </c>
      <c r="E268" s="195" t="s">
        <v>90</v>
      </c>
      <c r="F268" s="196" t="s">
        <v>97</v>
      </c>
      <c r="G268" s="197"/>
      <c r="H268" s="437">
        <f t="shared" si="6"/>
        <v>3000</v>
      </c>
      <c r="I268" s="437">
        <f t="shared" si="6"/>
        <v>3000</v>
      </c>
    </row>
    <row r="269" spans="1:9" ht="18.75">
      <c r="A269" s="423"/>
      <c r="B269" s="436" t="s">
        <v>127</v>
      </c>
      <c r="C269" s="194" t="s">
        <v>125</v>
      </c>
      <c r="D269" s="195" t="s">
        <v>98</v>
      </c>
      <c r="E269" s="195" t="s">
        <v>90</v>
      </c>
      <c r="F269" s="196" t="s">
        <v>128</v>
      </c>
      <c r="G269" s="197"/>
      <c r="H269" s="437">
        <f t="shared" si="6"/>
        <v>3000</v>
      </c>
      <c r="I269" s="437">
        <f t="shared" si="6"/>
        <v>3000</v>
      </c>
    </row>
    <row r="270" spans="1:9" ht="18.75">
      <c r="A270" s="423"/>
      <c r="B270" s="436" t="s">
        <v>110</v>
      </c>
      <c r="C270" s="194" t="s">
        <v>125</v>
      </c>
      <c r="D270" s="195" t="s">
        <v>98</v>
      </c>
      <c r="E270" s="195" t="s">
        <v>90</v>
      </c>
      <c r="F270" s="196" t="s">
        <v>128</v>
      </c>
      <c r="G270" s="197" t="s">
        <v>111</v>
      </c>
      <c r="H270" s="437">
        <f>'прил13(ведом 20-21)'!M53</f>
        <v>3000</v>
      </c>
      <c r="I270" s="437">
        <f>'прил13(ведом 20-21)'!N53</f>
        <v>3000</v>
      </c>
    </row>
    <row r="271" spans="1:9" ht="18.75">
      <c r="A271" s="423"/>
      <c r="B271" s="436"/>
      <c r="C271" s="194"/>
      <c r="D271" s="195"/>
      <c r="E271" s="195"/>
      <c r="F271" s="196"/>
      <c r="G271" s="197"/>
      <c r="H271" s="437"/>
      <c r="I271" s="437"/>
    </row>
    <row r="272" spans="1:9" s="435" customFormat="1" ht="18.75">
      <c r="A272" s="251">
        <v>15</v>
      </c>
      <c r="B272" s="613" t="s">
        <v>546</v>
      </c>
      <c r="C272" s="614"/>
      <c r="D272" s="615"/>
      <c r="E272" s="615"/>
      <c r="F272" s="616"/>
      <c r="G272" s="214"/>
      <c r="H272" s="434">
        <f>H273</f>
        <v>42976.368999999999</v>
      </c>
      <c r="I272" s="434">
        <f>I273</f>
        <v>41909.800000000003</v>
      </c>
    </row>
    <row r="273" spans="1:9" ht="18.75">
      <c r="A273" s="252"/>
      <c r="B273" s="617" t="s">
        <v>546</v>
      </c>
      <c r="C273" s="194"/>
      <c r="D273" s="195"/>
      <c r="E273" s="195"/>
      <c r="F273" s="196"/>
      <c r="G273" s="197"/>
      <c r="H273" s="618">
        <f>'прил13(ведом 20-21)'!M367</f>
        <v>42976.368999999999</v>
      </c>
      <c r="I273" s="618">
        <f>'прил13(ведом 20-21)'!N367</f>
        <v>41909.800000000003</v>
      </c>
    </row>
    <row r="274" spans="1:9" ht="18.75">
      <c r="A274" s="416"/>
      <c r="B274" s="328"/>
      <c r="C274" s="208"/>
      <c r="D274" s="208"/>
      <c r="E274" s="208"/>
      <c r="F274" s="208"/>
      <c r="G274" s="331"/>
    </row>
    <row r="275" spans="1:9" ht="18.75">
      <c r="A275" s="416"/>
      <c r="B275" s="328"/>
      <c r="C275" s="208"/>
      <c r="D275" s="208"/>
      <c r="E275" s="208"/>
      <c r="F275" s="208"/>
      <c r="G275" s="331"/>
    </row>
    <row r="276" spans="1:9" ht="18.75">
      <c r="A276" s="330" t="s">
        <v>588</v>
      </c>
      <c r="B276" s="328"/>
      <c r="C276" s="208"/>
      <c r="D276" s="208"/>
      <c r="E276" s="208"/>
      <c r="F276" s="208"/>
      <c r="G276" s="331"/>
    </row>
    <row r="277" spans="1:9" ht="18.75">
      <c r="A277" s="330" t="s">
        <v>589</v>
      </c>
      <c r="B277" s="328"/>
      <c r="C277" s="208"/>
      <c r="D277" s="208"/>
      <c r="E277" s="208"/>
      <c r="F277" s="208"/>
      <c r="G277" s="331"/>
    </row>
    <row r="278" spans="1:9" ht="18.75">
      <c r="A278" s="334" t="s">
        <v>590</v>
      </c>
      <c r="B278" s="328"/>
      <c r="C278" s="333"/>
      <c r="D278" s="208"/>
      <c r="E278" s="208"/>
      <c r="F278" s="208"/>
      <c r="G278" s="333"/>
      <c r="H278" s="333"/>
      <c r="I278" s="335" t="s">
        <v>641</v>
      </c>
    </row>
    <row r="279" spans="1:9">
      <c r="A279" s="416"/>
      <c r="B279" s="328"/>
      <c r="C279" s="208"/>
      <c r="D279" s="208"/>
      <c r="E279" s="208"/>
      <c r="F279" s="208"/>
    </row>
    <row r="280" spans="1:9">
      <c r="A280" s="416"/>
      <c r="B280" s="328"/>
      <c r="C280" s="208"/>
      <c r="D280" s="208"/>
      <c r="E280" s="208"/>
      <c r="F280" s="208"/>
    </row>
    <row r="281" spans="1:9">
      <c r="A281" s="416"/>
      <c r="B281" s="328"/>
      <c r="C281" s="208"/>
      <c r="D281" s="208"/>
      <c r="E281" s="208"/>
      <c r="F281" s="208"/>
    </row>
    <row r="282" spans="1:9" ht="18.75">
      <c r="A282" s="416"/>
      <c r="B282" s="328"/>
      <c r="C282" s="208"/>
      <c r="D282" s="208"/>
      <c r="E282" s="208"/>
      <c r="F282" s="208"/>
      <c r="G282" s="331"/>
    </row>
    <row r="283" spans="1:9">
      <c r="B283" s="412" t="s">
        <v>317</v>
      </c>
      <c r="H283" s="415">
        <f>H223+H211+H202+H165+H155+H145+H130+H117+H98+H73+H15</f>
        <v>1212838.2309999999</v>
      </c>
      <c r="I283" s="415">
        <f>I223+I211+I202+I165+I155+I145+I130+I117+I98+I73+I15</f>
        <v>1180953.2999999998</v>
      </c>
    </row>
    <row r="285" spans="1:9">
      <c r="H285" s="415">
        <f>(H283/H14)*100</f>
        <v>96.054814698774521</v>
      </c>
      <c r="I285" s="415">
        <f>(I283/I14)*100</f>
        <v>96.03583213378667</v>
      </c>
    </row>
    <row r="286" spans="1:9">
      <c r="H286" s="415"/>
      <c r="I286" s="415"/>
    </row>
    <row r="287" spans="1:9">
      <c r="B287" s="412" t="s">
        <v>318</v>
      </c>
      <c r="H287" s="415">
        <f>H266+H257</f>
        <v>6798.6</v>
      </c>
      <c r="I287" s="415">
        <f>I266+I257</f>
        <v>6798.6</v>
      </c>
    </row>
    <row r="288" spans="1:9">
      <c r="H288" s="415">
        <f>(H287/H292)*100</f>
        <v>0.53845469063684748</v>
      </c>
      <c r="I288" s="415">
        <f>(I287/I292)*100</f>
        <v>0.55288377282955148</v>
      </c>
    </row>
    <row r="289" spans="2:9">
      <c r="H289" s="415"/>
      <c r="I289" s="415"/>
    </row>
    <row r="290" spans="2:9">
      <c r="B290" s="412" t="s">
        <v>548</v>
      </c>
      <c r="H290" s="415">
        <f>H272</f>
        <v>42976.368999999999</v>
      </c>
      <c r="I290" s="415">
        <f>I272</f>
        <v>41909.800000000003</v>
      </c>
    </row>
    <row r="291" spans="2:9">
      <c r="H291" s="415">
        <f>(H290/H292)*100</f>
        <v>3.4037636387771011</v>
      </c>
      <c r="I291" s="415">
        <f>(I290/I292)*100</f>
        <v>3.4082382170640919</v>
      </c>
    </row>
    <row r="292" spans="2:9">
      <c r="B292" s="412" t="s">
        <v>281</v>
      </c>
      <c r="H292" s="415">
        <f>H287+H283+H290</f>
        <v>1262613.2</v>
      </c>
      <c r="I292" s="415">
        <f>I287+I283+I290</f>
        <v>1229661.7</v>
      </c>
    </row>
  </sheetData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86614173228346458" bottom="0.86614173228346458" header="0" footer="0"/>
  <pageSetup paperSize="9" scale="72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 filterMode="1">
    <tabColor rgb="FFFFFF00"/>
    <pageSetUpPr autoPageBreaks="0" fitToPage="1"/>
  </sheetPr>
  <dimension ref="A1:N748"/>
  <sheetViews>
    <sheetView topLeftCell="A509" zoomScale="76" zoomScaleNormal="76" zoomScaleSheetLayoutView="80" workbookViewId="0">
      <selection activeCell="Q512" sqref="Q512"/>
    </sheetView>
  </sheetViews>
  <sheetFormatPr defaultColWidth="8.85546875" defaultRowHeight="15"/>
  <cols>
    <col min="1" max="1" width="4.28515625" style="130" customWidth="1"/>
    <col min="2" max="2" width="54.42578125" style="130" customWidth="1"/>
    <col min="3" max="3" width="5.5703125" style="130" customWidth="1"/>
    <col min="4" max="5" width="3.7109375" style="130" customWidth="1"/>
    <col min="6" max="6" width="3.28515625" style="130" customWidth="1"/>
    <col min="7" max="7" width="2.42578125" style="130" customWidth="1"/>
    <col min="8" max="8" width="3.7109375" style="130" customWidth="1"/>
    <col min="9" max="9" width="12.5703125" style="130" customWidth="1"/>
    <col min="10" max="10" width="5" style="130" customWidth="1"/>
    <col min="11" max="11" width="23.7109375" style="215" hidden="1" customWidth="1"/>
    <col min="12" max="12" width="13.28515625" style="215" customWidth="1"/>
    <col min="13" max="13" width="19.5703125" style="215" customWidth="1"/>
    <col min="14" max="14" width="12" style="130" bestFit="1" customWidth="1"/>
    <col min="15" max="16384" width="8.85546875" style="130"/>
  </cols>
  <sheetData>
    <row r="1" spans="1:14" s="236" customFormat="1" ht="18.75">
      <c r="K1" s="244"/>
      <c r="L1" s="836"/>
      <c r="M1" s="513" t="s">
        <v>700</v>
      </c>
    </row>
    <row r="2" spans="1:14" s="236" customFormat="1" ht="18.75" hidden="1">
      <c r="K2" s="244"/>
      <c r="L2" s="836"/>
      <c r="M2" s="513" t="s">
        <v>0</v>
      </c>
    </row>
    <row r="3" spans="1:14" s="236" customFormat="1" ht="18.75" hidden="1">
      <c r="K3" s="244"/>
      <c r="L3" s="836"/>
      <c r="M3" s="513"/>
    </row>
    <row r="4" spans="1:14" ht="18.75" hidden="1">
      <c r="K4" s="513"/>
      <c r="M4" s="513" t="s">
        <v>753</v>
      </c>
    </row>
    <row r="5" spans="1:14" ht="18.75" hidden="1">
      <c r="K5" s="513"/>
      <c r="M5" s="513" t="s">
        <v>817</v>
      </c>
    </row>
    <row r="6" spans="1:14" hidden="1"/>
    <row r="7" spans="1:14" ht="21" hidden="1" customHeight="1">
      <c r="A7" s="939" t="s">
        <v>752</v>
      </c>
      <c r="B7" s="939"/>
      <c r="C7" s="939"/>
      <c r="D7" s="939"/>
      <c r="E7" s="939"/>
      <c r="F7" s="939"/>
      <c r="G7" s="939"/>
      <c r="H7" s="939"/>
      <c r="I7" s="939"/>
      <c r="J7" s="939"/>
      <c r="K7" s="939"/>
      <c r="L7" s="940"/>
      <c r="M7" s="939"/>
    </row>
    <row r="8" spans="1:14" ht="11.25" hidden="1" customHeight="1">
      <c r="A8" s="777"/>
      <c r="B8" s="777"/>
      <c r="C8" s="777"/>
      <c r="D8" s="777"/>
      <c r="E8" s="777"/>
      <c r="F8" s="777"/>
      <c r="G8" s="777"/>
      <c r="H8" s="777"/>
      <c r="I8" s="777"/>
      <c r="J8" s="777"/>
      <c r="K8" s="130"/>
      <c r="L8" s="837"/>
    </row>
    <row r="9" spans="1:14" ht="18.75" hidden="1">
      <c r="A9" s="131"/>
      <c r="B9" s="132"/>
      <c r="C9" s="133"/>
      <c r="D9" s="133"/>
      <c r="E9" s="133"/>
      <c r="F9" s="133"/>
      <c r="G9" s="131"/>
      <c r="H9" s="134"/>
      <c r="I9" s="135"/>
      <c r="J9" s="136"/>
      <c r="K9" s="216" t="s">
        <v>75</v>
      </c>
      <c r="L9" s="838"/>
      <c r="M9" s="216" t="s">
        <v>75</v>
      </c>
    </row>
    <row r="10" spans="1:14" ht="18.75" hidden="1">
      <c r="A10" s="948" t="s">
        <v>76</v>
      </c>
      <c r="B10" s="950" t="s">
        <v>77</v>
      </c>
      <c r="C10" s="952" t="s">
        <v>78</v>
      </c>
      <c r="D10" s="952" t="s">
        <v>79</v>
      </c>
      <c r="E10" s="952" t="s">
        <v>80</v>
      </c>
      <c r="F10" s="954" t="s">
        <v>81</v>
      </c>
      <c r="G10" s="955"/>
      <c r="H10" s="955"/>
      <c r="I10" s="956"/>
      <c r="J10" s="952" t="s">
        <v>82</v>
      </c>
      <c r="K10" s="943" t="s">
        <v>816</v>
      </c>
      <c r="L10" s="941" t="s">
        <v>515</v>
      </c>
      <c r="M10" s="942"/>
    </row>
    <row r="11" spans="1:14" ht="37.5" hidden="1">
      <c r="A11" s="949"/>
      <c r="B11" s="951"/>
      <c r="C11" s="953"/>
      <c r="D11" s="953"/>
      <c r="E11" s="953"/>
      <c r="F11" s="957"/>
      <c r="G11" s="958"/>
      <c r="H11" s="958"/>
      <c r="I11" s="959"/>
      <c r="J11" s="953"/>
      <c r="K11" s="944"/>
      <c r="L11" s="839" t="s">
        <v>606</v>
      </c>
      <c r="M11" s="217" t="s">
        <v>569</v>
      </c>
    </row>
    <row r="12" spans="1:14" ht="18.75" hidden="1">
      <c r="A12" s="137">
        <v>1</v>
      </c>
      <c r="B12" s="138">
        <v>2</v>
      </c>
      <c r="C12" s="139" t="s">
        <v>83</v>
      </c>
      <c r="D12" s="139" t="s">
        <v>84</v>
      </c>
      <c r="E12" s="139" t="s">
        <v>85</v>
      </c>
      <c r="F12" s="945" t="s">
        <v>86</v>
      </c>
      <c r="G12" s="946"/>
      <c r="H12" s="946"/>
      <c r="I12" s="947"/>
      <c r="J12" s="139" t="s">
        <v>87</v>
      </c>
      <c r="K12" s="676"/>
      <c r="L12" s="544">
        <v>8</v>
      </c>
      <c r="M12" s="544">
        <v>9</v>
      </c>
    </row>
    <row r="13" spans="1:14" ht="18.75" hidden="1">
      <c r="A13" s="140"/>
      <c r="B13" s="619" t="s">
        <v>281</v>
      </c>
      <c r="C13" s="620"/>
      <c r="D13" s="621"/>
      <c r="E13" s="621"/>
      <c r="F13" s="622"/>
      <c r="G13" s="623"/>
      <c r="H13" s="623"/>
      <c r="I13" s="624"/>
      <c r="J13" s="621"/>
      <c r="K13" s="625">
        <f>K14+K206+K239+K256+K361+K506+K574+K613+K633</f>
        <v>1418514.06424</v>
      </c>
      <c r="L13" s="625">
        <f>L14+L206+L239+L256+L361+L506+L574+L613+L633</f>
        <v>12912.948300000002</v>
      </c>
      <c r="M13" s="625">
        <f>M14+M206+M239+M256+M361+M506+M574+M613+M633</f>
        <v>1431427.0225399998</v>
      </c>
    </row>
    <row r="14" spans="1:14" s="148" customFormat="1" ht="37.5" hidden="1">
      <c r="A14" s="141">
        <v>1</v>
      </c>
      <c r="B14" s="142" t="s">
        <v>4</v>
      </c>
      <c r="C14" s="143" t="s">
        <v>13</v>
      </c>
      <c r="D14" s="144"/>
      <c r="E14" s="144"/>
      <c r="F14" s="145"/>
      <c r="G14" s="146"/>
      <c r="H14" s="146"/>
      <c r="I14" s="147"/>
      <c r="J14" s="144"/>
      <c r="K14" s="228">
        <f>K15+K75+K114+K173+K160+K191+K198</f>
        <v>131172.71247</v>
      </c>
      <c r="L14" s="228">
        <f>L15+L75+L114+L173+L160+L191+L198</f>
        <v>-4016.2000000000007</v>
      </c>
      <c r="M14" s="228">
        <f>M15+M75+M114+M173+M160+M191+M198</f>
        <v>127156.51247000002</v>
      </c>
      <c r="N14" s="541"/>
    </row>
    <row r="15" spans="1:14" s="152" customFormat="1" ht="18.75" hidden="1">
      <c r="A15" s="140"/>
      <c r="B15" s="149" t="s">
        <v>89</v>
      </c>
      <c r="C15" s="150" t="s">
        <v>13</v>
      </c>
      <c r="D15" s="139" t="s">
        <v>90</v>
      </c>
      <c r="E15" s="139"/>
      <c r="F15" s="778"/>
      <c r="G15" s="779"/>
      <c r="H15" s="779"/>
      <c r="I15" s="780"/>
      <c r="J15" s="151"/>
      <c r="K15" s="151">
        <f>K16+K22+K50+K56+K44</f>
        <v>80047.396389999994</v>
      </c>
      <c r="L15" s="151">
        <f>L16+L22+L50+L56+L44</f>
        <v>-4500.2000000000007</v>
      </c>
      <c r="M15" s="151">
        <f>M16+M22+M50+M56+M44</f>
        <v>75547.196389999997</v>
      </c>
    </row>
    <row r="16" spans="1:14" s="153" customFormat="1" ht="56.25" hidden="1">
      <c r="A16" s="140"/>
      <c r="B16" s="149" t="s">
        <v>91</v>
      </c>
      <c r="C16" s="150" t="s">
        <v>13</v>
      </c>
      <c r="D16" s="139" t="s">
        <v>90</v>
      </c>
      <c r="E16" s="139" t="s">
        <v>92</v>
      </c>
      <c r="F16" s="778"/>
      <c r="G16" s="779"/>
      <c r="H16" s="779"/>
      <c r="I16" s="780"/>
      <c r="J16" s="139"/>
      <c r="K16" s="151">
        <f t="shared" ref="K16:M20" si="0">K17</f>
        <v>1971.5</v>
      </c>
      <c r="L16" s="151">
        <f t="shared" si="0"/>
        <v>0</v>
      </c>
      <c r="M16" s="151">
        <f t="shared" si="0"/>
        <v>1971.5</v>
      </c>
    </row>
    <row r="17" spans="1:13" s="153" customFormat="1" ht="61.5" hidden="1" customHeight="1">
      <c r="A17" s="140"/>
      <c r="B17" s="149" t="s">
        <v>93</v>
      </c>
      <c r="C17" s="150" t="s">
        <v>13</v>
      </c>
      <c r="D17" s="139" t="s">
        <v>90</v>
      </c>
      <c r="E17" s="139" t="s">
        <v>92</v>
      </c>
      <c r="F17" s="778" t="s">
        <v>94</v>
      </c>
      <c r="G17" s="779" t="s">
        <v>95</v>
      </c>
      <c r="H17" s="779" t="s">
        <v>96</v>
      </c>
      <c r="I17" s="780" t="s">
        <v>97</v>
      </c>
      <c r="J17" s="139"/>
      <c r="K17" s="151">
        <f>K18</f>
        <v>1971.5</v>
      </c>
      <c r="L17" s="151">
        <f>L18</f>
        <v>0</v>
      </c>
      <c r="M17" s="151">
        <f>M18</f>
        <v>1971.5</v>
      </c>
    </row>
    <row r="18" spans="1:13" s="153" customFormat="1" ht="37.5" hidden="1">
      <c r="A18" s="140"/>
      <c r="B18" s="149" t="s">
        <v>491</v>
      </c>
      <c r="C18" s="150" t="s">
        <v>13</v>
      </c>
      <c r="D18" s="139" t="s">
        <v>90</v>
      </c>
      <c r="E18" s="139" t="s">
        <v>92</v>
      </c>
      <c r="F18" s="778" t="s">
        <v>94</v>
      </c>
      <c r="G18" s="779" t="s">
        <v>98</v>
      </c>
      <c r="H18" s="779" t="s">
        <v>96</v>
      </c>
      <c r="I18" s="780" t="s">
        <v>97</v>
      </c>
      <c r="J18" s="139"/>
      <c r="K18" s="151">
        <f t="shared" si="0"/>
        <v>1971.5</v>
      </c>
      <c r="L18" s="151">
        <f t="shared" si="0"/>
        <v>0</v>
      </c>
      <c r="M18" s="151">
        <f t="shared" si="0"/>
        <v>1971.5</v>
      </c>
    </row>
    <row r="19" spans="1:13" s="153" customFormat="1" ht="56.25" hidden="1">
      <c r="A19" s="140"/>
      <c r="B19" s="149" t="s">
        <v>99</v>
      </c>
      <c r="C19" s="150" t="s">
        <v>13</v>
      </c>
      <c r="D19" s="139" t="s">
        <v>90</v>
      </c>
      <c r="E19" s="139" t="s">
        <v>92</v>
      </c>
      <c r="F19" s="778" t="s">
        <v>94</v>
      </c>
      <c r="G19" s="779" t="s">
        <v>98</v>
      </c>
      <c r="H19" s="779" t="s">
        <v>90</v>
      </c>
      <c r="I19" s="780" t="s">
        <v>97</v>
      </c>
      <c r="J19" s="139"/>
      <c r="K19" s="151">
        <f t="shared" si="0"/>
        <v>1971.5</v>
      </c>
      <c r="L19" s="151">
        <f t="shared" si="0"/>
        <v>0</v>
      </c>
      <c r="M19" s="151">
        <f t="shared" si="0"/>
        <v>1971.5</v>
      </c>
    </row>
    <row r="20" spans="1:13" s="153" customFormat="1" ht="37.5" hidden="1">
      <c r="A20" s="140"/>
      <c r="B20" s="149" t="s">
        <v>100</v>
      </c>
      <c r="C20" s="150" t="s">
        <v>13</v>
      </c>
      <c r="D20" s="139" t="s">
        <v>90</v>
      </c>
      <c r="E20" s="139" t="s">
        <v>92</v>
      </c>
      <c r="F20" s="778" t="s">
        <v>94</v>
      </c>
      <c r="G20" s="779" t="s">
        <v>98</v>
      </c>
      <c r="H20" s="779" t="s">
        <v>90</v>
      </c>
      <c r="I20" s="780" t="s">
        <v>101</v>
      </c>
      <c r="J20" s="139"/>
      <c r="K20" s="151">
        <f t="shared" si="0"/>
        <v>1971.5</v>
      </c>
      <c r="L20" s="151">
        <f t="shared" si="0"/>
        <v>0</v>
      </c>
      <c r="M20" s="151">
        <f t="shared" si="0"/>
        <v>1971.5</v>
      </c>
    </row>
    <row r="21" spans="1:13" s="153" customFormat="1" ht="95.45" hidden="1" customHeight="1">
      <c r="A21" s="140"/>
      <c r="B21" s="724" t="s">
        <v>102</v>
      </c>
      <c r="C21" s="150" t="s">
        <v>13</v>
      </c>
      <c r="D21" s="139" t="s">
        <v>90</v>
      </c>
      <c r="E21" s="139" t="s">
        <v>92</v>
      </c>
      <c r="F21" s="778" t="s">
        <v>94</v>
      </c>
      <c r="G21" s="779" t="s">
        <v>98</v>
      </c>
      <c r="H21" s="779" t="s">
        <v>90</v>
      </c>
      <c r="I21" s="780" t="s">
        <v>101</v>
      </c>
      <c r="J21" s="139" t="s">
        <v>103</v>
      </c>
      <c r="K21" s="151">
        <v>1971.5</v>
      </c>
      <c r="L21" s="151">
        <f>M21-K21</f>
        <v>0</v>
      </c>
      <c r="M21" s="151">
        <v>1971.5</v>
      </c>
    </row>
    <row r="22" spans="1:13" s="152" customFormat="1" ht="80.25" hidden="1" customHeight="1">
      <c r="A22" s="140"/>
      <c r="B22" s="149" t="s">
        <v>104</v>
      </c>
      <c r="C22" s="150" t="s">
        <v>13</v>
      </c>
      <c r="D22" s="139" t="s">
        <v>90</v>
      </c>
      <c r="E22" s="139" t="s">
        <v>105</v>
      </c>
      <c r="F22" s="778"/>
      <c r="G22" s="779"/>
      <c r="H22" s="779"/>
      <c r="I22" s="780"/>
      <c r="J22" s="139"/>
      <c r="K22" s="151">
        <f t="shared" ref="K22:M23" si="1">K23</f>
        <v>65994.402390000003</v>
      </c>
      <c r="L22" s="151">
        <f t="shared" si="1"/>
        <v>123.19999999999982</v>
      </c>
      <c r="M22" s="151">
        <f t="shared" si="1"/>
        <v>66117.60239</v>
      </c>
    </row>
    <row r="23" spans="1:13" s="152" customFormat="1" ht="59.25" hidden="1" customHeight="1">
      <c r="A23" s="140"/>
      <c r="B23" s="149" t="s">
        <v>106</v>
      </c>
      <c r="C23" s="150" t="s">
        <v>13</v>
      </c>
      <c r="D23" s="139" t="s">
        <v>90</v>
      </c>
      <c r="E23" s="139" t="s">
        <v>105</v>
      </c>
      <c r="F23" s="778" t="s">
        <v>94</v>
      </c>
      <c r="G23" s="779" t="s">
        <v>95</v>
      </c>
      <c r="H23" s="779" t="s">
        <v>96</v>
      </c>
      <c r="I23" s="780" t="s">
        <v>97</v>
      </c>
      <c r="J23" s="139"/>
      <c r="K23" s="151">
        <f t="shared" si="1"/>
        <v>65994.402390000003</v>
      </c>
      <c r="L23" s="151">
        <f t="shared" si="1"/>
        <v>123.19999999999982</v>
      </c>
      <c r="M23" s="151">
        <f t="shared" si="1"/>
        <v>66117.60239</v>
      </c>
    </row>
    <row r="24" spans="1:13" s="136" customFormat="1" ht="37.5" hidden="1">
      <c r="A24" s="140"/>
      <c r="B24" s="149" t="s">
        <v>491</v>
      </c>
      <c r="C24" s="150" t="s">
        <v>13</v>
      </c>
      <c r="D24" s="139" t="s">
        <v>90</v>
      </c>
      <c r="E24" s="139" t="s">
        <v>105</v>
      </c>
      <c r="F24" s="778" t="s">
        <v>94</v>
      </c>
      <c r="G24" s="779" t="s">
        <v>98</v>
      </c>
      <c r="H24" s="195" t="s">
        <v>96</v>
      </c>
      <c r="I24" s="780" t="s">
        <v>97</v>
      </c>
      <c r="J24" s="139"/>
      <c r="K24" s="151">
        <f>K25+K41</f>
        <v>65994.402390000003</v>
      </c>
      <c r="L24" s="151">
        <f>L25+L41</f>
        <v>123.19999999999982</v>
      </c>
      <c r="M24" s="151">
        <f>M25+M41</f>
        <v>66117.60239</v>
      </c>
    </row>
    <row r="25" spans="1:13" s="136" customFormat="1" ht="37.5" hidden="1">
      <c r="A25" s="140"/>
      <c r="B25" s="149" t="s">
        <v>107</v>
      </c>
      <c r="C25" s="150" t="s">
        <v>13</v>
      </c>
      <c r="D25" s="139" t="s">
        <v>90</v>
      </c>
      <c r="E25" s="139" t="s">
        <v>105</v>
      </c>
      <c r="F25" s="778" t="s">
        <v>94</v>
      </c>
      <c r="G25" s="779" t="s">
        <v>98</v>
      </c>
      <c r="H25" s="779" t="s">
        <v>92</v>
      </c>
      <c r="I25" s="780" t="s">
        <v>97</v>
      </c>
      <c r="J25" s="139"/>
      <c r="K25" s="151">
        <f>K26+K32+K34+K37+K30+K39</f>
        <v>65930.802389999997</v>
      </c>
      <c r="L25" s="151">
        <f>L26+L32+L34+L37+L30+L39</f>
        <v>123.19999999999982</v>
      </c>
      <c r="M25" s="151">
        <f>M26+M32+M34+M37+M30+M39</f>
        <v>66054.002389999994</v>
      </c>
    </row>
    <row r="26" spans="1:13" s="153" customFormat="1" ht="37.5" hidden="1">
      <c r="A26" s="140"/>
      <c r="B26" s="149" t="s">
        <v>100</v>
      </c>
      <c r="C26" s="150" t="s">
        <v>13</v>
      </c>
      <c r="D26" s="139" t="s">
        <v>90</v>
      </c>
      <c r="E26" s="139" t="s">
        <v>105</v>
      </c>
      <c r="F26" s="778" t="s">
        <v>94</v>
      </c>
      <c r="G26" s="779" t="s">
        <v>98</v>
      </c>
      <c r="H26" s="779" t="s">
        <v>92</v>
      </c>
      <c r="I26" s="780" t="s">
        <v>101</v>
      </c>
      <c r="J26" s="139"/>
      <c r="K26" s="151">
        <f>K27+K28+K29</f>
        <v>62065.702389999999</v>
      </c>
      <c r="L26" s="151">
        <f>L27+L28+L29</f>
        <v>123.19999999999982</v>
      </c>
      <c r="M26" s="151">
        <f>M27+M28+M29</f>
        <v>62188.902390000003</v>
      </c>
    </row>
    <row r="27" spans="1:13" s="153" customFormat="1" ht="91.9" hidden="1" customHeight="1">
      <c r="A27" s="140"/>
      <c r="B27" s="724" t="s">
        <v>102</v>
      </c>
      <c r="C27" s="150" t="s">
        <v>13</v>
      </c>
      <c r="D27" s="139" t="s">
        <v>90</v>
      </c>
      <c r="E27" s="139" t="s">
        <v>105</v>
      </c>
      <c r="F27" s="778" t="s">
        <v>94</v>
      </c>
      <c r="G27" s="779" t="s">
        <v>98</v>
      </c>
      <c r="H27" s="779" t="s">
        <v>92</v>
      </c>
      <c r="I27" s="780" t="s">
        <v>101</v>
      </c>
      <c r="J27" s="139" t="s">
        <v>103</v>
      </c>
      <c r="K27" s="151">
        <f>55633.4-23837+6300+17537-0.1</f>
        <v>55633.3</v>
      </c>
      <c r="L27" s="151">
        <f>M27-K27</f>
        <v>0</v>
      </c>
      <c r="M27" s="151">
        <f>55633.4-23837+6300+17537-0.1</f>
        <v>55633.3</v>
      </c>
    </row>
    <row r="28" spans="1:13" s="136" customFormat="1" ht="61.15" hidden="1" customHeight="1">
      <c r="A28" s="140"/>
      <c r="B28" s="784" t="s">
        <v>108</v>
      </c>
      <c r="C28" s="785" t="s">
        <v>13</v>
      </c>
      <c r="D28" s="786" t="s">
        <v>90</v>
      </c>
      <c r="E28" s="786" t="s">
        <v>105</v>
      </c>
      <c r="F28" s="787" t="s">
        <v>94</v>
      </c>
      <c r="G28" s="788" t="s">
        <v>98</v>
      </c>
      <c r="H28" s="788" t="s">
        <v>92</v>
      </c>
      <c r="I28" s="789" t="s">
        <v>101</v>
      </c>
      <c r="J28" s="786" t="s">
        <v>109</v>
      </c>
      <c r="K28" s="706">
        <f>5063.2+591.6+3.3+38.849+70+13.9+15.1+201.9-0.03661-21.01</f>
        <v>5976.8023899999998</v>
      </c>
      <c r="L28" s="706">
        <f>M28-K28</f>
        <v>123.19999999999982</v>
      </c>
      <c r="M28" s="706">
        <f>5063.2+591.6+3.3+38.849+70+13.9+15.1+201.9-0.03661-21.01+111.7+11.5</f>
        <v>6100.0023899999997</v>
      </c>
    </row>
    <row r="29" spans="1:13" s="153" customFormat="1" ht="18.75" hidden="1">
      <c r="A29" s="140"/>
      <c r="B29" s="149" t="s">
        <v>110</v>
      </c>
      <c r="C29" s="150" t="s">
        <v>13</v>
      </c>
      <c r="D29" s="139" t="s">
        <v>90</v>
      </c>
      <c r="E29" s="139" t="s">
        <v>105</v>
      </c>
      <c r="F29" s="778" t="s">
        <v>94</v>
      </c>
      <c r="G29" s="779" t="s">
        <v>98</v>
      </c>
      <c r="H29" s="779" t="s">
        <v>92</v>
      </c>
      <c r="I29" s="780" t="s">
        <v>101</v>
      </c>
      <c r="J29" s="139" t="s">
        <v>111</v>
      </c>
      <c r="K29" s="151">
        <f>240.4+110.297+104.903</f>
        <v>455.6</v>
      </c>
      <c r="L29" s="151">
        <f>M29-K29</f>
        <v>0</v>
      </c>
      <c r="M29" s="151">
        <f>240.4+110.297+104.903</f>
        <v>455.6</v>
      </c>
    </row>
    <row r="30" spans="1:13" s="152" customFormat="1" ht="90.75" hidden="1" customHeight="1">
      <c r="A30" s="140"/>
      <c r="B30" s="149" t="s">
        <v>117</v>
      </c>
      <c r="C30" s="150" t="s">
        <v>13</v>
      </c>
      <c r="D30" s="139" t="s">
        <v>90</v>
      </c>
      <c r="E30" s="139" t="s">
        <v>105</v>
      </c>
      <c r="F30" s="778" t="s">
        <v>94</v>
      </c>
      <c r="G30" s="779" t="s">
        <v>98</v>
      </c>
      <c r="H30" s="779" t="s">
        <v>92</v>
      </c>
      <c r="I30" s="780" t="s">
        <v>370</v>
      </c>
      <c r="J30" s="139"/>
      <c r="K30" s="151">
        <f>K31</f>
        <v>66</v>
      </c>
      <c r="L30" s="151">
        <f>L31</f>
        <v>0</v>
      </c>
      <c r="M30" s="151">
        <f>M31</f>
        <v>66</v>
      </c>
    </row>
    <row r="31" spans="1:13" s="152" customFormat="1" ht="54" hidden="1" customHeight="1">
      <c r="A31" s="140"/>
      <c r="B31" s="724" t="s">
        <v>108</v>
      </c>
      <c r="C31" s="150" t="s">
        <v>13</v>
      </c>
      <c r="D31" s="139" t="s">
        <v>90</v>
      </c>
      <c r="E31" s="139" t="s">
        <v>105</v>
      </c>
      <c r="F31" s="778" t="s">
        <v>94</v>
      </c>
      <c r="G31" s="779" t="s">
        <v>98</v>
      </c>
      <c r="H31" s="779" t="s">
        <v>92</v>
      </c>
      <c r="I31" s="780" t="s">
        <v>370</v>
      </c>
      <c r="J31" s="139" t="s">
        <v>109</v>
      </c>
      <c r="K31" s="151">
        <v>66</v>
      </c>
      <c r="L31" s="151">
        <f>M31-K31</f>
        <v>0</v>
      </c>
      <c r="M31" s="151">
        <v>66</v>
      </c>
    </row>
    <row r="32" spans="1:13" s="152" customFormat="1" ht="210" hidden="1" customHeight="1">
      <c r="A32" s="140"/>
      <c r="B32" s="149" t="s">
        <v>809</v>
      </c>
      <c r="C32" s="150" t="s">
        <v>13</v>
      </c>
      <c r="D32" s="139" t="s">
        <v>90</v>
      </c>
      <c r="E32" s="139" t="s">
        <v>105</v>
      </c>
      <c r="F32" s="778" t="s">
        <v>94</v>
      </c>
      <c r="G32" s="779" t="s">
        <v>98</v>
      </c>
      <c r="H32" s="779" t="s">
        <v>92</v>
      </c>
      <c r="I32" s="780" t="s">
        <v>112</v>
      </c>
      <c r="J32" s="139"/>
      <c r="K32" s="151">
        <f>K33</f>
        <v>617.1</v>
      </c>
      <c r="L32" s="151">
        <f>L33</f>
        <v>0</v>
      </c>
      <c r="M32" s="151">
        <f>M33</f>
        <v>617.1</v>
      </c>
    </row>
    <row r="33" spans="1:13" s="152" customFormat="1" ht="94.15" hidden="1" customHeight="1">
      <c r="A33" s="140"/>
      <c r="B33" s="724" t="s">
        <v>102</v>
      </c>
      <c r="C33" s="150" t="s">
        <v>13</v>
      </c>
      <c r="D33" s="139" t="s">
        <v>90</v>
      </c>
      <c r="E33" s="139" t="s">
        <v>105</v>
      </c>
      <c r="F33" s="778" t="s">
        <v>94</v>
      </c>
      <c r="G33" s="779" t="s">
        <v>98</v>
      </c>
      <c r="H33" s="779" t="s">
        <v>92</v>
      </c>
      <c r="I33" s="780" t="s">
        <v>112</v>
      </c>
      <c r="J33" s="139" t="s">
        <v>103</v>
      </c>
      <c r="K33" s="151">
        <v>617.1</v>
      </c>
      <c r="L33" s="151">
        <f>M33-K33</f>
        <v>0</v>
      </c>
      <c r="M33" s="151">
        <v>617.1</v>
      </c>
    </row>
    <row r="34" spans="1:13" s="152" customFormat="1" ht="83.25" hidden="1" customHeight="1">
      <c r="A34" s="140"/>
      <c r="B34" s="149" t="s">
        <v>113</v>
      </c>
      <c r="C34" s="150" t="s">
        <v>13</v>
      </c>
      <c r="D34" s="139" t="s">
        <v>90</v>
      </c>
      <c r="E34" s="139" t="s">
        <v>105</v>
      </c>
      <c r="F34" s="778" t="s">
        <v>94</v>
      </c>
      <c r="G34" s="779" t="s">
        <v>98</v>
      </c>
      <c r="H34" s="779" t="s">
        <v>92</v>
      </c>
      <c r="I34" s="780" t="s">
        <v>114</v>
      </c>
      <c r="J34" s="139"/>
      <c r="K34" s="151">
        <f>SUM(K35:K36)</f>
        <v>2498.7000000000003</v>
      </c>
      <c r="L34" s="151">
        <f>SUM(L35:L36)</f>
        <v>0</v>
      </c>
      <c r="M34" s="151">
        <f>SUM(M35:M36)</f>
        <v>2498.7000000000003</v>
      </c>
    </row>
    <row r="35" spans="1:13" s="152" customFormat="1" ht="92.45" hidden="1" customHeight="1">
      <c r="A35" s="140"/>
      <c r="B35" s="724" t="s">
        <v>102</v>
      </c>
      <c r="C35" s="150" t="s">
        <v>13</v>
      </c>
      <c r="D35" s="139" t="s">
        <v>90</v>
      </c>
      <c r="E35" s="139" t="s">
        <v>105</v>
      </c>
      <c r="F35" s="778" t="s">
        <v>94</v>
      </c>
      <c r="G35" s="779" t="s">
        <v>98</v>
      </c>
      <c r="H35" s="779" t="s">
        <v>92</v>
      </c>
      <c r="I35" s="780" t="s">
        <v>114</v>
      </c>
      <c r="J35" s="139" t="s">
        <v>103</v>
      </c>
      <c r="K35" s="151">
        <v>2399.8000000000002</v>
      </c>
      <c r="L35" s="151">
        <f t="shared" ref="L35:L36" si="2">M35-K35</f>
        <v>0</v>
      </c>
      <c r="M35" s="151">
        <v>2399.8000000000002</v>
      </c>
    </row>
    <row r="36" spans="1:13" s="152" customFormat="1" ht="54" hidden="1" customHeight="1">
      <c r="A36" s="140"/>
      <c r="B36" s="724" t="s">
        <v>108</v>
      </c>
      <c r="C36" s="150" t="s">
        <v>13</v>
      </c>
      <c r="D36" s="139" t="s">
        <v>90</v>
      </c>
      <c r="E36" s="139" t="s">
        <v>105</v>
      </c>
      <c r="F36" s="778" t="s">
        <v>94</v>
      </c>
      <c r="G36" s="779" t="s">
        <v>98</v>
      </c>
      <c r="H36" s="779" t="s">
        <v>92</v>
      </c>
      <c r="I36" s="780" t="s">
        <v>114</v>
      </c>
      <c r="J36" s="139" t="s">
        <v>109</v>
      </c>
      <c r="K36" s="151">
        <f>89.9+9</f>
        <v>98.9</v>
      </c>
      <c r="L36" s="151">
        <f t="shared" si="2"/>
        <v>0</v>
      </c>
      <c r="M36" s="151">
        <f>89.9+9</f>
        <v>98.9</v>
      </c>
    </row>
    <row r="37" spans="1:13" s="152" customFormat="1" ht="75" hidden="1">
      <c r="A37" s="140"/>
      <c r="B37" s="149" t="s">
        <v>115</v>
      </c>
      <c r="C37" s="150" t="s">
        <v>13</v>
      </c>
      <c r="D37" s="139" t="s">
        <v>90</v>
      </c>
      <c r="E37" s="139" t="s">
        <v>105</v>
      </c>
      <c r="F37" s="778" t="s">
        <v>94</v>
      </c>
      <c r="G37" s="779" t="s">
        <v>98</v>
      </c>
      <c r="H37" s="779" t="s">
        <v>92</v>
      </c>
      <c r="I37" s="780" t="s">
        <v>116</v>
      </c>
      <c r="J37" s="139"/>
      <c r="K37" s="151">
        <f>K38</f>
        <v>617.29999999999995</v>
      </c>
      <c r="L37" s="151">
        <f>L38</f>
        <v>0</v>
      </c>
      <c r="M37" s="151">
        <f>M38</f>
        <v>617.29999999999995</v>
      </c>
    </row>
    <row r="38" spans="1:13" s="152" customFormat="1" ht="90" hidden="1" customHeight="1">
      <c r="A38" s="140"/>
      <c r="B38" s="724" t="s">
        <v>102</v>
      </c>
      <c r="C38" s="150" t="s">
        <v>13</v>
      </c>
      <c r="D38" s="139" t="s">
        <v>90</v>
      </c>
      <c r="E38" s="139" t="s">
        <v>105</v>
      </c>
      <c r="F38" s="778" t="s">
        <v>94</v>
      </c>
      <c r="G38" s="779" t="s">
        <v>98</v>
      </c>
      <c r="H38" s="779" t="s">
        <v>92</v>
      </c>
      <c r="I38" s="780" t="s">
        <v>116</v>
      </c>
      <c r="J38" s="139" t="s">
        <v>103</v>
      </c>
      <c r="K38" s="151">
        <v>617.29999999999995</v>
      </c>
      <c r="L38" s="151">
        <f>M38-K38</f>
        <v>0</v>
      </c>
      <c r="M38" s="151">
        <v>617.29999999999995</v>
      </c>
    </row>
    <row r="39" spans="1:13" s="152" customFormat="1" ht="18.75" hidden="1">
      <c r="A39" s="140"/>
      <c r="B39" s="149" t="s">
        <v>584</v>
      </c>
      <c r="C39" s="150" t="s">
        <v>13</v>
      </c>
      <c r="D39" s="139" t="s">
        <v>90</v>
      </c>
      <c r="E39" s="139" t="s">
        <v>105</v>
      </c>
      <c r="F39" s="778" t="s">
        <v>94</v>
      </c>
      <c r="G39" s="779" t="s">
        <v>98</v>
      </c>
      <c r="H39" s="779" t="s">
        <v>92</v>
      </c>
      <c r="I39" s="780" t="s">
        <v>583</v>
      </c>
      <c r="J39" s="139"/>
      <c r="K39" s="151">
        <f>K40</f>
        <v>66</v>
      </c>
      <c r="L39" s="151">
        <f>L40</f>
        <v>0</v>
      </c>
      <c r="M39" s="151">
        <f>M40</f>
        <v>66</v>
      </c>
    </row>
    <row r="40" spans="1:13" s="152" customFormat="1" ht="52.15" hidden="1" customHeight="1">
      <c r="A40" s="140"/>
      <c r="B40" s="724" t="s">
        <v>108</v>
      </c>
      <c r="C40" s="150" t="s">
        <v>13</v>
      </c>
      <c r="D40" s="139" t="s">
        <v>90</v>
      </c>
      <c r="E40" s="139" t="s">
        <v>105</v>
      </c>
      <c r="F40" s="778" t="s">
        <v>94</v>
      </c>
      <c r="G40" s="779" t="s">
        <v>98</v>
      </c>
      <c r="H40" s="779" t="s">
        <v>92</v>
      </c>
      <c r="I40" s="780" t="s">
        <v>583</v>
      </c>
      <c r="J40" s="139" t="s">
        <v>109</v>
      </c>
      <c r="K40" s="151">
        <v>66</v>
      </c>
      <c r="L40" s="151">
        <f>M40-K40</f>
        <v>0</v>
      </c>
      <c r="M40" s="151">
        <v>66</v>
      </c>
    </row>
    <row r="41" spans="1:13" s="136" customFormat="1" ht="18.75" hidden="1">
      <c r="A41" s="140"/>
      <c r="B41" s="149" t="s">
        <v>118</v>
      </c>
      <c r="C41" s="150" t="s">
        <v>13</v>
      </c>
      <c r="D41" s="139" t="s">
        <v>90</v>
      </c>
      <c r="E41" s="139" t="s">
        <v>105</v>
      </c>
      <c r="F41" s="778" t="s">
        <v>94</v>
      </c>
      <c r="G41" s="779" t="s">
        <v>98</v>
      </c>
      <c r="H41" s="779" t="s">
        <v>119</v>
      </c>
      <c r="I41" s="780" t="s">
        <v>97</v>
      </c>
      <c r="J41" s="139"/>
      <c r="K41" s="151">
        <f t="shared" ref="K41:M42" si="3">K42</f>
        <v>63.6</v>
      </c>
      <c r="L41" s="151">
        <f t="shared" si="3"/>
        <v>0</v>
      </c>
      <c r="M41" s="151">
        <f t="shared" si="3"/>
        <v>63.6</v>
      </c>
    </row>
    <row r="42" spans="1:13" s="153" customFormat="1" ht="37.5" hidden="1">
      <c r="A42" s="140"/>
      <c r="B42" s="149" t="s">
        <v>100</v>
      </c>
      <c r="C42" s="150" t="s">
        <v>13</v>
      </c>
      <c r="D42" s="139" t="s">
        <v>90</v>
      </c>
      <c r="E42" s="139" t="s">
        <v>105</v>
      </c>
      <c r="F42" s="778" t="s">
        <v>94</v>
      </c>
      <c r="G42" s="779" t="s">
        <v>98</v>
      </c>
      <c r="H42" s="779" t="s">
        <v>119</v>
      </c>
      <c r="I42" s="780" t="s">
        <v>101</v>
      </c>
      <c r="J42" s="139"/>
      <c r="K42" s="151">
        <f t="shared" si="3"/>
        <v>63.6</v>
      </c>
      <c r="L42" s="151">
        <f t="shared" si="3"/>
        <v>0</v>
      </c>
      <c r="M42" s="151">
        <f t="shared" si="3"/>
        <v>63.6</v>
      </c>
    </row>
    <row r="43" spans="1:13" s="136" customFormat="1" ht="51.6" hidden="1" customHeight="1">
      <c r="A43" s="140"/>
      <c r="B43" s="724" t="s">
        <v>108</v>
      </c>
      <c r="C43" s="150" t="s">
        <v>13</v>
      </c>
      <c r="D43" s="139" t="s">
        <v>90</v>
      </c>
      <c r="E43" s="139" t="s">
        <v>105</v>
      </c>
      <c r="F43" s="778" t="s">
        <v>94</v>
      </c>
      <c r="G43" s="779" t="s">
        <v>98</v>
      </c>
      <c r="H43" s="779" t="s">
        <v>119</v>
      </c>
      <c r="I43" s="780" t="s">
        <v>101</v>
      </c>
      <c r="J43" s="139" t="s">
        <v>109</v>
      </c>
      <c r="K43" s="151">
        <f>41.6+22</f>
        <v>63.6</v>
      </c>
      <c r="L43" s="151">
        <f>M43-K43</f>
        <v>0</v>
      </c>
      <c r="M43" s="151">
        <f>41.6+22</f>
        <v>63.6</v>
      </c>
    </row>
    <row r="44" spans="1:13" s="136" customFormat="1" ht="18.75" hidden="1">
      <c r="A44" s="140"/>
      <c r="B44" s="149" t="s">
        <v>634</v>
      </c>
      <c r="C44" s="150" t="s">
        <v>13</v>
      </c>
      <c r="D44" s="139" t="s">
        <v>90</v>
      </c>
      <c r="E44" s="139" t="s">
        <v>121</v>
      </c>
      <c r="F44" s="778"/>
      <c r="G44" s="779"/>
      <c r="H44" s="779"/>
      <c r="I44" s="780"/>
      <c r="J44" s="139"/>
      <c r="K44" s="151">
        <f t="shared" ref="K44:M48" si="4">K45</f>
        <v>10.4</v>
      </c>
      <c r="L44" s="151">
        <f t="shared" si="4"/>
        <v>0</v>
      </c>
      <c r="M44" s="151">
        <f t="shared" si="4"/>
        <v>10.4</v>
      </c>
    </row>
    <row r="45" spans="1:13" s="136" customFormat="1" ht="56.25" hidden="1">
      <c r="A45" s="140"/>
      <c r="B45" s="149" t="s">
        <v>106</v>
      </c>
      <c r="C45" s="150" t="s">
        <v>13</v>
      </c>
      <c r="D45" s="139" t="s">
        <v>90</v>
      </c>
      <c r="E45" s="139" t="s">
        <v>121</v>
      </c>
      <c r="F45" s="778" t="s">
        <v>94</v>
      </c>
      <c r="G45" s="779" t="s">
        <v>95</v>
      </c>
      <c r="H45" s="779" t="s">
        <v>96</v>
      </c>
      <c r="I45" s="780" t="s">
        <v>97</v>
      </c>
      <c r="J45" s="139"/>
      <c r="K45" s="151">
        <f t="shared" si="4"/>
        <v>10.4</v>
      </c>
      <c r="L45" s="151">
        <f t="shared" si="4"/>
        <v>0</v>
      </c>
      <c r="M45" s="151">
        <f t="shared" si="4"/>
        <v>10.4</v>
      </c>
    </row>
    <row r="46" spans="1:13" s="136" customFormat="1" ht="37.5" hidden="1">
      <c r="A46" s="140"/>
      <c r="B46" s="149" t="s">
        <v>491</v>
      </c>
      <c r="C46" s="150" t="s">
        <v>13</v>
      </c>
      <c r="D46" s="139" t="s">
        <v>90</v>
      </c>
      <c r="E46" s="139" t="s">
        <v>121</v>
      </c>
      <c r="F46" s="778" t="s">
        <v>94</v>
      </c>
      <c r="G46" s="779" t="s">
        <v>98</v>
      </c>
      <c r="H46" s="779" t="s">
        <v>96</v>
      </c>
      <c r="I46" s="780" t="s">
        <v>97</v>
      </c>
      <c r="J46" s="139"/>
      <c r="K46" s="151">
        <f t="shared" si="4"/>
        <v>10.4</v>
      </c>
      <c r="L46" s="151">
        <f t="shared" si="4"/>
        <v>0</v>
      </c>
      <c r="M46" s="151">
        <f t="shared" si="4"/>
        <v>10.4</v>
      </c>
    </row>
    <row r="47" spans="1:13" s="136" customFormat="1" ht="37.5" hidden="1">
      <c r="A47" s="140"/>
      <c r="B47" s="149" t="s">
        <v>107</v>
      </c>
      <c r="C47" s="150" t="s">
        <v>13</v>
      </c>
      <c r="D47" s="139" t="s">
        <v>90</v>
      </c>
      <c r="E47" s="139" t="s">
        <v>121</v>
      </c>
      <c r="F47" s="778" t="s">
        <v>94</v>
      </c>
      <c r="G47" s="779" t="s">
        <v>98</v>
      </c>
      <c r="H47" s="779" t="s">
        <v>92</v>
      </c>
      <c r="I47" s="780" t="s">
        <v>97</v>
      </c>
      <c r="J47" s="139"/>
      <c r="K47" s="151">
        <f t="shared" si="4"/>
        <v>10.4</v>
      </c>
      <c r="L47" s="151">
        <f t="shared" si="4"/>
        <v>0</v>
      </c>
      <c r="M47" s="151">
        <f t="shared" si="4"/>
        <v>10.4</v>
      </c>
    </row>
    <row r="48" spans="1:13" s="136" customFormat="1" ht="93.75" hidden="1">
      <c r="A48" s="140"/>
      <c r="B48" s="149" t="s">
        <v>636</v>
      </c>
      <c r="C48" s="150" t="s">
        <v>13</v>
      </c>
      <c r="D48" s="139" t="s">
        <v>90</v>
      </c>
      <c r="E48" s="139" t="s">
        <v>121</v>
      </c>
      <c r="F48" s="778" t="s">
        <v>94</v>
      </c>
      <c r="G48" s="779" t="s">
        <v>98</v>
      </c>
      <c r="H48" s="779" t="s">
        <v>92</v>
      </c>
      <c r="I48" s="780" t="s">
        <v>635</v>
      </c>
      <c r="J48" s="139"/>
      <c r="K48" s="151">
        <f t="shared" si="4"/>
        <v>10.4</v>
      </c>
      <c r="L48" s="151">
        <f t="shared" si="4"/>
        <v>0</v>
      </c>
      <c r="M48" s="151">
        <f t="shared" si="4"/>
        <v>10.4</v>
      </c>
    </row>
    <row r="49" spans="1:13" s="136" customFormat="1" ht="57.6" hidden="1" customHeight="1">
      <c r="A49" s="140"/>
      <c r="B49" s="724" t="s">
        <v>108</v>
      </c>
      <c r="C49" s="150" t="s">
        <v>13</v>
      </c>
      <c r="D49" s="139" t="s">
        <v>90</v>
      </c>
      <c r="E49" s="139" t="s">
        <v>121</v>
      </c>
      <c r="F49" s="778" t="s">
        <v>94</v>
      </c>
      <c r="G49" s="779" t="s">
        <v>98</v>
      </c>
      <c r="H49" s="779" t="s">
        <v>92</v>
      </c>
      <c r="I49" s="780" t="s">
        <v>635</v>
      </c>
      <c r="J49" s="139" t="s">
        <v>109</v>
      </c>
      <c r="K49" s="151">
        <f>5.9+4.5</f>
        <v>10.4</v>
      </c>
      <c r="L49" s="151">
        <f>M49-K49</f>
        <v>0</v>
      </c>
      <c r="M49" s="151">
        <f>5.9+4.5</f>
        <v>10.4</v>
      </c>
    </row>
    <row r="50" spans="1:13" s="153" customFormat="1" ht="16.899999999999999" hidden="1" customHeight="1">
      <c r="A50" s="140"/>
      <c r="B50" s="149" t="s">
        <v>122</v>
      </c>
      <c r="C50" s="150" t="s">
        <v>13</v>
      </c>
      <c r="D50" s="139" t="s">
        <v>90</v>
      </c>
      <c r="E50" s="139" t="s">
        <v>123</v>
      </c>
      <c r="F50" s="778"/>
      <c r="G50" s="779"/>
      <c r="H50" s="779"/>
      <c r="I50" s="780"/>
      <c r="J50" s="139"/>
      <c r="K50" s="151">
        <f t="shared" ref="K50:M54" si="5">K51</f>
        <v>8873.2939999999999</v>
      </c>
      <c r="L50" s="151">
        <f t="shared" si="5"/>
        <v>-4773.4000000000005</v>
      </c>
      <c r="M50" s="151">
        <f t="shared" si="5"/>
        <v>4099.8939999999993</v>
      </c>
    </row>
    <row r="51" spans="1:13" s="153" customFormat="1" ht="37.5" hidden="1">
      <c r="A51" s="140"/>
      <c r="B51" s="149" t="s">
        <v>124</v>
      </c>
      <c r="C51" s="150" t="s">
        <v>13</v>
      </c>
      <c r="D51" s="139" t="s">
        <v>90</v>
      </c>
      <c r="E51" s="139" t="s">
        <v>123</v>
      </c>
      <c r="F51" s="778" t="s">
        <v>125</v>
      </c>
      <c r="G51" s="779" t="s">
        <v>95</v>
      </c>
      <c r="H51" s="779" t="s">
        <v>96</v>
      </c>
      <c r="I51" s="780" t="s">
        <v>97</v>
      </c>
      <c r="J51" s="139"/>
      <c r="K51" s="151">
        <f t="shared" si="5"/>
        <v>8873.2939999999999</v>
      </c>
      <c r="L51" s="151">
        <f t="shared" si="5"/>
        <v>-4773.4000000000005</v>
      </c>
      <c r="M51" s="151">
        <f t="shared" si="5"/>
        <v>4099.8939999999993</v>
      </c>
    </row>
    <row r="52" spans="1:13" s="153" customFormat="1" ht="37.5" hidden="1">
      <c r="A52" s="140"/>
      <c r="B52" s="154" t="s">
        <v>126</v>
      </c>
      <c r="C52" s="150" t="s">
        <v>13</v>
      </c>
      <c r="D52" s="139" t="s">
        <v>90</v>
      </c>
      <c r="E52" s="139" t="s">
        <v>123</v>
      </c>
      <c r="F52" s="778" t="s">
        <v>125</v>
      </c>
      <c r="G52" s="779" t="s">
        <v>98</v>
      </c>
      <c r="H52" s="779" t="s">
        <v>96</v>
      </c>
      <c r="I52" s="780" t="s">
        <v>97</v>
      </c>
      <c r="J52" s="139"/>
      <c r="K52" s="151">
        <f t="shared" si="5"/>
        <v>8873.2939999999999</v>
      </c>
      <c r="L52" s="151">
        <f t="shared" si="5"/>
        <v>-4773.4000000000005</v>
      </c>
      <c r="M52" s="151">
        <f t="shared" si="5"/>
        <v>4099.8939999999993</v>
      </c>
    </row>
    <row r="53" spans="1:13" s="153" customFormat="1" ht="18.75" hidden="1">
      <c r="A53" s="140"/>
      <c r="B53" s="149" t="s">
        <v>122</v>
      </c>
      <c r="C53" s="150" t="s">
        <v>13</v>
      </c>
      <c r="D53" s="139" t="s">
        <v>90</v>
      </c>
      <c r="E53" s="139" t="s">
        <v>123</v>
      </c>
      <c r="F53" s="778" t="s">
        <v>125</v>
      </c>
      <c r="G53" s="779" t="s">
        <v>98</v>
      </c>
      <c r="H53" s="779" t="s">
        <v>90</v>
      </c>
      <c r="I53" s="780" t="s">
        <v>97</v>
      </c>
      <c r="J53" s="139"/>
      <c r="K53" s="151">
        <f t="shared" si="5"/>
        <v>8873.2939999999999</v>
      </c>
      <c r="L53" s="151">
        <f t="shared" si="5"/>
        <v>-4773.4000000000005</v>
      </c>
      <c r="M53" s="151">
        <f t="shared" si="5"/>
        <v>4099.8939999999993</v>
      </c>
    </row>
    <row r="54" spans="1:13" s="153" customFormat="1" ht="18.75" hidden="1">
      <c r="A54" s="140"/>
      <c r="B54" s="149" t="s">
        <v>127</v>
      </c>
      <c r="C54" s="150" t="s">
        <v>13</v>
      </c>
      <c r="D54" s="139" t="s">
        <v>90</v>
      </c>
      <c r="E54" s="139" t="s">
        <v>123</v>
      </c>
      <c r="F54" s="778" t="s">
        <v>125</v>
      </c>
      <c r="G54" s="779" t="s">
        <v>98</v>
      </c>
      <c r="H54" s="779" t="s">
        <v>90</v>
      </c>
      <c r="I54" s="780" t="s">
        <v>128</v>
      </c>
      <c r="J54" s="139"/>
      <c r="K54" s="151">
        <f t="shared" si="5"/>
        <v>8873.2939999999999</v>
      </c>
      <c r="L54" s="151">
        <f t="shared" si="5"/>
        <v>-4773.4000000000005</v>
      </c>
      <c r="M54" s="151">
        <f t="shared" si="5"/>
        <v>4099.8939999999993</v>
      </c>
    </row>
    <row r="55" spans="1:13" s="153" customFormat="1" ht="18.75" hidden="1">
      <c r="A55" s="140"/>
      <c r="B55" s="791" t="s">
        <v>110</v>
      </c>
      <c r="C55" s="785" t="s">
        <v>13</v>
      </c>
      <c r="D55" s="786" t="s">
        <v>90</v>
      </c>
      <c r="E55" s="786" t="s">
        <v>123</v>
      </c>
      <c r="F55" s="787" t="s">
        <v>125</v>
      </c>
      <c r="G55" s="788" t="s">
        <v>98</v>
      </c>
      <c r="H55" s="788" t="s">
        <v>90</v>
      </c>
      <c r="I55" s="789" t="s">
        <v>128</v>
      </c>
      <c r="J55" s="786" t="s">
        <v>111</v>
      </c>
      <c r="K55" s="706">
        <f>3000+2000-1126.706+5000</f>
        <v>8873.2939999999999</v>
      </c>
      <c r="L55" s="706">
        <f>M55-K55</f>
        <v>-4773.4000000000005</v>
      </c>
      <c r="M55" s="706">
        <f>3000+2000-1126.706+5000-4569.3-204.1</f>
        <v>4099.8939999999993</v>
      </c>
    </row>
    <row r="56" spans="1:13" s="153" customFormat="1" ht="16.899999999999999" hidden="1" customHeight="1">
      <c r="A56" s="140"/>
      <c r="B56" s="149" t="s">
        <v>129</v>
      </c>
      <c r="C56" s="150" t="s">
        <v>13</v>
      </c>
      <c r="D56" s="139" t="s">
        <v>90</v>
      </c>
      <c r="E56" s="139" t="s">
        <v>130</v>
      </c>
      <c r="F56" s="778"/>
      <c r="G56" s="779"/>
      <c r="H56" s="779"/>
      <c r="I56" s="780"/>
      <c r="J56" s="139"/>
      <c r="K56" s="151">
        <f t="shared" ref="K56" si="6">K62+K57</f>
        <v>3197.8000000000006</v>
      </c>
      <c r="L56" s="151">
        <f t="shared" ref="L56:M56" si="7">L62+L57</f>
        <v>150</v>
      </c>
      <c r="M56" s="151">
        <f t="shared" si="7"/>
        <v>3347.8000000000006</v>
      </c>
    </row>
    <row r="57" spans="1:13" s="153" customFormat="1" ht="75" hidden="1">
      <c r="A57" s="140"/>
      <c r="B57" s="149" t="s">
        <v>131</v>
      </c>
      <c r="C57" s="150" t="s">
        <v>13</v>
      </c>
      <c r="D57" s="139" t="s">
        <v>90</v>
      </c>
      <c r="E57" s="139" t="s">
        <v>130</v>
      </c>
      <c r="F57" s="778" t="s">
        <v>132</v>
      </c>
      <c r="G57" s="779" t="s">
        <v>95</v>
      </c>
      <c r="H57" s="779" t="s">
        <v>96</v>
      </c>
      <c r="I57" s="780" t="s">
        <v>97</v>
      </c>
      <c r="J57" s="139"/>
      <c r="K57" s="151">
        <f t="shared" ref="K57:M60" si="8">K58</f>
        <v>189.8</v>
      </c>
      <c r="L57" s="151">
        <f t="shared" si="8"/>
        <v>0</v>
      </c>
      <c r="M57" s="151">
        <f t="shared" si="8"/>
        <v>189.8</v>
      </c>
    </row>
    <row r="58" spans="1:13" s="153" customFormat="1" ht="37.5" hidden="1">
      <c r="A58" s="140"/>
      <c r="B58" s="149" t="s">
        <v>491</v>
      </c>
      <c r="C58" s="150" t="s">
        <v>13</v>
      </c>
      <c r="D58" s="139" t="s">
        <v>90</v>
      </c>
      <c r="E58" s="139" t="s">
        <v>130</v>
      </c>
      <c r="F58" s="778" t="s">
        <v>132</v>
      </c>
      <c r="G58" s="779" t="s">
        <v>98</v>
      </c>
      <c r="H58" s="779" t="s">
        <v>96</v>
      </c>
      <c r="I58" s="780" t="s">
        <v>97</v>
      </c>
      <c r="J58" s="139"/>
      <c r="K58" s="151">
        <f t="shared" si="8"/>
        <v>189.8</v>
      </c>
      <c r="L58" s="151">
        <f t="shared" si="8"/>
        <v>0</v>
      </c>
      <c r="M58" s="151">
        <f t="shared" si="8"/>
        <v>189.8</v>
      </c>
    </row>
    <row r="59" spans="1:13" s="153" customFormat="1" ht="56.25" hidden="1">
      <c r="A59" s="140"/>
      <c r="B59" s="154" t="s">
        <v>371</v>
      </c>
      <c r="C59" s="150" t="s">
        <v>13</v>
      </c>
      <c r="D59" s="139" t="s">
        <v>90</v>
      </c>
      <c r="E59" s="139" t="s">
        <v>130</v>
      </c>
      <c r="F59" s="778" t="s">
        <v>132</v>
      </c>
      <c r="G59" s="779" t="s">
        <v>98</v>
      </c>
      <c r="H59" s="779" t="s">
        <v>90</v>
      </c>
      <c r="I59" s="780" t="s">
        <v>97</v>
      </c>
      <c r="J59" s="139"/>
      <c r="K59" s="151">
        <f t="shared" si="8"/>
        <v>189.8</v>
      </c>
      <c r="L59" s="151">
        <f t="shared" si="8"/>
        <v>0</v>
      </c>
      <c r="M59" s="151">
        <f t="shared" si="8"/>
        <v>189.8</v>
      </c>
    </row>
    <row r="60" spans="1:13" s="153" customFormat="1" ht="52.15" hidden="1" customHeight="1">
      <c r="A60" s="140"/>
      <c r="B60" s="725" t="s">
        <v>133</v>
      </c>
      <c r="C60" s="150" t="s">
        <v>13</v>
      </c>
      <c r="D60" s="139" t="s">
        <v>90</v>
      </c>
      <c r="E60" s="139" t="s">
        <v>130</v>
      </c>
      <c r="F60" s="778" t="s">
        <v>132</v>
      </c>
      <c r="G60" s="779" t="s">
        <v>98</v>
      </c>
      <c r="H60" s="779" t="s">
        <v>90</v>
      </c>
      <c r="I60" s="780" t="s">
        <v>134</v>
      </c>
      <c r="J60" s="139"/>
      <c r="K60" s="151">
        <f t="shared" si="8"/>
        <v>189.8</v>
      </c>
      <c r="L60" s="151">
        <f t="shared" si="8"/>
        <v>0</v>
      </c>
      <c r="M60" s="151">
        <f t="shared" si="8"/>
        <v>189.8</v>
      </c>
    </row>
    <row r="61" spans="1:13" s="153" customFormat="1" ht="56.25" hidden="1">
      <c r="A61" s="140"/>
      <c r="B61" s="155" t="s">
        <v>135</v>
      </c>
      <c r="C61" s="150" t="s">
        <v>13</v>
      </c>
      <c r="D61" s="139" t="s">
        <v>90</v>
      </c>
      <c r="E61" s="139" t="s">
        <v>130</v>
      </c>
      <c r="F61" s="778" t="s">
        <v>132</v>
      </c>
      <c r="G61" s="779" t="s">
        <v>98</v>
      </c>
      <c r="H61" s="779" t="s">
        <v>90</v>
      </c>
      <c r="I61" s="780" t="s">
        <v>134</v>
      </c>
      <c r="J61" s="139" t="s">
        <v>136</v>
      </c>
      <c r="K61" s="151">
        <v>189.8</v>
      </c>
      <c r="L61" s="151">
        <f>M61-K61</f>
        <v>0</v>
      </c>
      <c r="M61" s="151">
        <v>189.8</v>
      </c>
    </row>
    <row r="62" spans="1:13" s="153" customFormat="1" ht="56.25" hidden="1">
      <c r="A62" s="140"/>
      <c r="B62" s="149" t="s">
        <v>93</v>
      </c>
      <c r="C62" s="150" t="s">
        <v>13</v>
      </c>
      <c r="D62" s="139" t="s">
        <v>90</v>
      </c>
      <c r="E62" s="139" t="s">
        <v>130</v>
      </c>
      <c r="F62" s="778" t="s">
        <v>94</v>
      </c>
      <c r="G62" s="779" t="s">
        <v>95</v>
      </c>
      <c r="H62" s="779" t="s">
        <v>96</v>
      </c>
      <c r="I62" s="780" t="s">
        <v>97</v>
      </c>
      <c r="J62" s="139"/>
      <c r="K62" s="151">
        <f>K63</f>
        <v>3008.0000000000005</v>
      </c>
      <c r="L62" s="151">
        <f>L63</f>
        <v>150</v>
      </c>
      <c r="M62" s="151">
        <f>M63</f>
        <v>3158.0000000000005</v>
      </c>
    </row>
    <row r="63" spans="1:13" s="153" customFormat="1" ht="37.5" hidden="1">
      <c r="A63" s="140"/>
      <c r="B63" s="149" t="s">
        <v>491</v>
      </c>
      <c r="C63" s="150" t="s">
        <v>13</v>
      </c>
      <c r="D63" s="139" t="s">
        <v>90</v>
      </c>
      <c r="E63" s="139" t="s">
        <v>130</v>
      </c>
      <c r="F63" s="778" t="s">
        <v>94</v>
      </c>
      <c r="G63" s="779" t="s">
        <v>98</v>
      </c>
      <c r="H63" s="779" t="s">
        <v>96</v>
      </c>
      <c r="I63" s="780" t="s">
        <v>97</v>
      </c>
      <c r="J63" s="139"/>
      <c r="K63" s="151">
        <f>K70+K67+K64</f>
        <v>3008.0000000000005</v>
      </c>
      <c r="L63" s="151">
        <f>L70+L67+L64</f>
        <v>150</v>
      </c>
      <c r="M63" s="151">
        <f>M70+M67+M64</f>
        <v>3158.0000000000005</v>
      </c>
    </row>
    <row r="64" spans="1:13" s="153" customFormat="1" ht="37.5" hidden="1">
      <c r="A64" s="140"/>
      <c r="B64" s="436" t="s">
        <v>107</v>
      </c>
      <c r="C64" s="150" t="s">
        <v>13</v>
      </c>
      <c r="D64" s="139" t="s">
        <v>90</v>
      </c>
      <c r="E64" s="139" t="s">
        <v>130</v>
      </c>
      <c r="F64" s="778" t="s">
        <v>94</v>
      </c>
      <c r="G64" s="779" t="s">
        <v>98</v>
      </c>
      <c r="H64" s="779" t="s">
        <v>92</v>
      </c>
      <c r="I64" s="780" t="s">
        <v>97</v>
      </c>
      <c r="J64" s="139"/>
      <c r="K64" s="151">
        <f t="shared" ref="K64:M65" si="9">K65</f>
        <v>103.9</v>
      </c>
      <c r="L64" s="151">
        <f t="shared" si="9"/>
        <v>0</v>
      </c>
      <c r="M64" s="151">
        <f t="shared" si="9"/>
        <v>103.9</v>
      </c>
    </row>
    <row r="65" spans="1:13" s="153" customFormat="1" ht="18.75" hidden="1">
      <c r="A65" s="140"/>
      <c r="B65" s="149" t="s">
        <v>819</v>
      </c>
      <c r="C65" s="150" t="s">
        <v>13</v>
      </c>
      <c r="D65" s="139" t="s">
        <v>90</v>
      </c>
      <c r="E65" s="139" t="s">
        <v>130</v>
      </c>
      <c r="F65" s="778" t="s">
        <v>94</v>
      </c>
      <c r="G65" s="779" t="s">
        <v>98</v>
      </c>
      <c r="H65" s="779" t="s">
        <v>92</v>
      </c>
      <c r="I65" s="780" t="s">
        <v>818</v>
      </c>
      <c r="J65" s="139"/>
      <c r="K65" s="151">
        <f t="shared" si="9"/>
        <v>103.9</v>
      </c>
      <c r="L65" s="151">
        <f t="shared" si="9"/>
        <v>0</v>
      </c>
      <c r="M65" s="151">
        <f t="shared" si="9"/>
        <v>103.9</v>
      </c>
    </row>
    <row r="66" spans="1:13" s="153" customFormat="1" ht="54" hidden="1" customHeight="1">
      <c r="A66" s="140"/>
      <c r="B66" s="724" t="s">
        <v>108</v>
      </c>
      <c r="C66" s="150" t="s">
        <v>13</v>
      </c>
      <c r="D66" s="139" t="s">
        <v>90</v>
      </c>
      <c r="E66" s="139" t="s">
        <v>130</v>
      </c>
      <c r="F66" s="778" t="s">
        <v>94</v>
      </c>
      <c r="G66" s="779" t="s">
        <v>98</v>
      </c>
      <c r="H66" s="779" t="s">
        <v>92</v>
      </c>
      <c r="I66" s="780" t="s">
        <v>818</v>
      </c>
      <c r="J66" s="139" t="s">
        <v>109</v>
      </c>
      <c r="K66" s="151">
        <f>103.9-21.01+21.01</f>
        <v>103.9</v>
      </c>
      <c r="L66" s="151">
        <f>M66-K66</f>
        <v>0</v>
      </c>
      <c r="M66" s="151">
        <f>103.9-21.01+21.01</f>
        <v>103.9</v>
      </c>
    </row>
    <row r="67" spans="1:13" s="153" customFormat="1" ht="18.75" hidden="1">
      <c r="A67" s="140"/>
      <c r="B67" s="149" t="s">
        <v>118</v>
      </c>
      <c r="C67" s="150" t="s">
        <v>13</v>
      </c>
      <c r="D67" s="139" t="s">
        <v>90</v>
      </c>
      <c r="E67" s="139" t="s">
        <v>130</v>
      </c>
      <c r="F67" s="778" t="s">
        <v>94</v>
      </c>
      <c r="G67" s="779" t="s">
        <v>98</v>
      </c>
      <c r="H67" s="779" t="s">
        <v>119</v>
      </c>
      <c r="I67" s="780" t="s">
        <v>97</v>
      </c>
      <c r="J67" s="139"/>
      <c r="K67" s="151">
        <f t="shared" ref="K67:M68" si="10">K68</f>
        <v>801.2</v>
      </c>
      <c r="L67" s="151">
        <f t="shared" si="10"/>
        <v>110</v>
      </c>
      <c r="M67" s="151">
        <f t="shared" si="10"/>
        <v>911.2</v>
      </c>
    </row>
    <row r="68" spans="1:13" s="153" customFormat="1" ht="75" hidden="1">
      <c r="A68" s="140"/>
      <c r="B68" s="149" t="s">
        <v>616</v>
      </c>
      <c r="C68" s="150" t="s">
        <v>13</v>
      </c>
      <c r="D68" s="139" t="s">
        <v>90</v>
      </c>
      <c r="E68" s="139" t="s">
        <v>130</v>
      </c>
      <c r="F68" s="778" t="s">
        <v>94</v>
      </c>
      <c r="G68" s="779" t="s">
        <v>98</v>
      </c>
      <c r="H68" s="779" t="s">
        <v>119</v>
      </c>
      <c r="I68" s="780" t="s">
        <v>615</v>
      </c>
      <c r="J68" s="139"/>
      <c r="K68" s="151">
        <f t="shared" si="10"/>
        <v>801.2</v>
      </c>
      <c r="L68" s="151">
        <f t="shared" si="10"/>
        <v>110</v>
      </c>
      <c r="M68" s="151">
        <f t="shared" si="10"/>
        <v>911.2</v>
      </c>
    </row>
    <row r="69" spans="1:13" s="153" customFormat="1" ht="59.25" hidden="1" customHeight="1">
      <c r="A69" s="140"/>
      <c r="B69" s="784" t="s">
        <v>108</v>
      </c>
      <c r="C69" s="785" t="s">
        <v>13</v>
      </c>
      <c r="D69" s="786" t="s">
        <v>90</v>
      </c>
      <c r="E69" s="786" t="s">
        <v>130</v>
      </c>
      <c r="F69" s="787" t="s">
        <v>94</v>
      </c>
      <c r="G69" s="788" t="s">
        <v>98</v>
      </c>
      <c r="H69" s="788" t="s">
        <v>119</v>
      </c>
      <c r="I69" s="789" t="s">
        <v>615</v>
      </c>
      <c r="J69" s="786" t="s">
        <v>109</v>
      </c>
      <c r="K69" s="706">
        <f>551.2+250</f>
        <v>801.2</v>
      </c>
      <c r="L69" s="706">
        <f>M69-K69</f>
        <v>110</v>
      </c>
      <c r="M69" s="706">
        <f>551.2+250-40+150</f>
        <v>911.2</v>
      </c>
    </row>
    <row r="70" spans="1:13" s="153" customFormat="1" ht="18.75" hidden="1">
      <c r="A70" s="140"/>
      <c r="B70" s="149" t="s">
        <v>120</v>
      </c>
      <c r="C70" s="150" t="s">
        <v>13</v>
      </c>
      <c r="D70" s="139" t="s">
        <v>90</v>
      </c>
      <c r="E70" s="139" t="s">
        <v>130</v>
      </c>
      <c r="F70" s="778" t="s">
        <v>94</v>
      </c>
      <c r="G70" s="779" t="s">
        <v>98</v>
      </c>
      <c r="H70" s="779" t="s">
        <v>105</v>
      </c>
      <c r="I70" s="780" t="s">
        <v>97</v>
      </c>
      <c r="J70" s="139"/>
      <c r="K70" s="151">
        <f>K71+K73</f>
        <v>2102.9</v>
      </c>
      <c r="L70" s="151">
        <f>L71+L73</f>
        <v>40</v>
      </c>
      <c r="M70" s="151">
        <f>M71+M73</f>
        <v>2142.9</v>
      </c>
    </row>
    <row r="71" spans="1:13" s="153" customFormat="1" ht="51" hidden="1" customHeight="1">
      <c r="A71" s="140"/>
      <c r="B71" s="156" t="s">
        <v>522</v>
      </c>
      <c r="C71" s="150" t="s">
        <v>13</v>
      </c>
      <c r="D71" s="139" t="s">
        <v>90</v>
      </c>
      <c r="E71" s="139" t="s">
        <v>130</v>
      </c>
      <c r="F71" s="778" t="s">
        <v>94</v>
      </c>
      <c r="G71" s="779" t="s">
        <v>98</v>
      </c>
      <c r="H71" s="779" t="s">
        <v>105</v>
      </c>
      <c r="I71" s="780" t="s">
        <v>168</v>
      </c>
      <c r="J71" s="139"/>
      <c r="K71" s="151">
        <f>K72</f>
        <v>185.3</v>
      </c>
      <c r="L71" s="151">
        <f>L72</f>
        <v>0</v>
      </c>
      <c r="M71" s="151">
        <f>M72</f>
        <v>185.3</v>
      </c>
    </row>
    <row r="72" spans="1:13" s="153" customFormat="1" ht="59.25" hidden="1" customHeight="1">
      <c r="A72" s="140"/>
      <c r="B72" s="724" t="s">
        <v>108</v>
      </c>
      <c r="C72" s="150" t="s">
        <v>13</v>
      </c>
      <c r="D72" s="139" t="s">
        <v>90</v>
      </c>
      <c r="E72" s="139" t="s">
        <v>130</v>
      </c>
      <c r="F72" s="778" t="s">
        <v>94</v>
      </c>
      <c r="G72" s="779" t="s">
        <v>98</v>
      </c>
      <c r="H72" s="779" t="s">
        <v>105</v>
      </c>
      <c r="I72" s="780" t="s">
        <v>168</v>
      </c>
      <c r="J72" s="139" t="s">
        <v>109</v>
      </c>
      <c r="K72" s="151">
        <v>185.3</v>
      </c>
      <c r="L72" s="151">
        <f>M72-K72</f>
        <v>0</v>
      </c>
      <c r="M72" s="151">
        <v>185.3</v>
      </c>
    </row>
    <row r="73" spans="1:13" s="153" customFormat="1" ht="56.25" hidden="1">
      <c r="A73" s="140"/>
      <c r="B73" s="149" t="s">
        <v>524</v>
      </c>
      <c r="C73" s="150" t="s">
        <v>13</v>
      </c>
      <c r="D73" s="139" t="s">
        <v>90</v>
      </c>
      <c r="E73" s="139" t="s">
        <v>130</v>
      </c>
      <c r="F73" s="778" t="s">
        <v>94</v>
      </c>
      <c r="G73" s="779" t="s">
        <v>98</v>
      </c>
      <c r="H73" s="779" t="s">
        <v>105</v>
      </c>
      <c r="I73" s="780" t="s">
        <v>523</v>
      </c>
      <c r="J73" s="139"/>
      <c r="K73" s="151">
        <f>K74</f>
        <v>1917.6</v>
      </c>
      <c r="L73" s="151">
        <f>L74</f>
        <v>40</v>
      </c>
      <c r="M73" s="151">
        <f>M74</f>
        <v>1957.6</v>
      </c>
    </row>
    <row r="74" spans="1:13" s="153" customFormat="1" ht="60.75" hidden="1" customHeight="1">
      <c r="A74" s="140"/>
      <c r="B74" s="784" t="s">
        <v>108</v>
      </c>
      <c r="C74" s="785" t="s">
        <v>13</v>
      </c>
      <c r="D74" s="786" t="s">
        <v>90</v>
      </c>
      <c r="E74" s="786" t="s">
        <v>130</v>
      </c>
      <c r="F74" s="787" t="s">
        <v>94</v>
      </c>
      <c r="G74" s="788" t="s">
        <v>98</v>
      </c>
      <c r="H74" s="788" t="s">
        <v>105</v>
      </c>
      <c r="I74" s="789" t="s">
        <v>523</v>
      </c>
      <c r="J74" s="786" t="s">
        <v>109</v>
      </c>
      <c r="K74" s="706">
        <f>1549.8+367.8</f>
        <v>1917.6</v>
      </c>
      <c r="L74" s="706">
        <f>M74-K74</f>
        <v>40</v>
      </c>
      <c r="M74" s="706">
        <f>1549.8+367.8+40</f>
        <v>1957.6</v>
      </c>
    </row>
    <row r="75" spans="1:13" s="153" customFormat="1" ht="37.5" hidden="1">
      <c r="A75" s="140"/>
      <c r="B75" s="149" t="s">
        <v>137</v>
      </c>
      <c r="C75" s="150" t="s">
        <v>13</v>
      </c>
      <c r="D75" s="139" t="s">
        <v>119</v>
      </c>
      <c r="E75" s="139"/>
      <c r="F75" s="778"/>
      <c r="G75" s="779"/>
      <c r="H75" s="779"/>
      <c r="I75" s="780"/>
      <c r="J75" s="139"/>
      <c r="K75" s="151">
        <f t="shared" ref="K75" si="11">K76+K90</f>
        <v>15577.980679999997</v>
      </c>
      <c r="L75" s="151">
        <f t="shared" ref="L75:M75" si="12">L76+L90</f>
        <v>0</v>
      </c>
      <c r="M75" s="151">
        <f t="shared" si="12"/>
        <v>15577.980679999997</v>
      </c>
    </row>
    <row r="76" spans="1:13" s="153" customFormat="1" ht="56.25" hidden="1" customHeight="1">
      <c r="A76" s="140"/>
      <c r="B76" s="149" t="s">
        <v>138</v>
      </c>
      <c r="C76" s="150" t="s">
        <v>13</v>
      </c>
      <c r="D76" s="139" t="s">
        <v>119</v>
      </c>
      <c r="E76" s="139" t="s">
        <v>139</v>
      </c>
      <c r="F76" s="778"/>
      <c r="G76" s="779"/>
      <c r="H76" s="779"/>
      <c r="I76" s="780"/>
      <c r="J76" s="139"/>
      <c r="K76" s="151">
        <f t="shared" ref="K76:M78" si="13">K77</f>
        <v>6498.1166799999992</v>
      </c>
      <c r="L76" s="151">
        <f t="shared" si="13"/>
        <v>0</v>
      </c>
      <c r="M76" s="151">
        <f t="shared" si="13"/>
        <v>6498.1166799999992</v>
      </c>
    </row>
    <row r="77" spans="1:13" s="153" customFormat="1" ht="60" hidden="1" customHeight="1">
      <c r="A77" s="140"/>
      <c r="B77" s="149" t="s">
        <v>140</v>
      </c>
      <c r="C77" s="150" t="s">
        <v>13</v>
      </c>
      <c r="D77" s="139" t="s">
        <v>119</v>
      </c>
      <c r="E77" s="139" t="s">
        <v>139</v>
      </c>
      <c r="F77" s="778" t="s">
        <v>141</v>
      </c>
      <c r="G77" s="779" t="s">
        <v>95</v>
      </c>
      <c r="H77" s="779" t="s">
        <v>96</v>
      </c>
      <c r="I77" s="780" t="s">
        <v>97</v>
      </c>
      <c r="J77" s="139"/>
      <c r="K77" s="151">
        <f t="shared" si="13"/>
        <v>6498.1166799999992</v>
      </c>
      <c r="L77" s="151">
        <f t="shared" si="13"/>
        <v>0</v>
      </c>
      <c r="M77" s="151">
        <f t="shared" si="13"/>
        <v>6498.1166799999992</v>
      </c>
    </row>
    <row r="78" spans="1:13" s="153" customFormat="1" ht="60" hidden="1" customHeight="1">
      <c r="A78" s="140"/>
      <c r="B78" s="157" t="s">
        <v>142</v>
      </c>
      <c r="C78" s="150" t="s">
        <v>13</v>
      </c>
      <c r="D78" s="139" t="s">
        <v>119</v>
      </c>
      <c r="E78" s="139" t="s">
        <v>139</v>
      </c>
      <c r="F78" s="778" t="s">
        <v>141</v>
      </c>
      <c r="G78" s="779" t="s">
        <v>98</v>
      </c>
      <c r="H78" s="779" t="s">
        <v>96</v>
      </c>
      <c r="I78" s="780" t="s">
        <v>97</v>
      </c>
      <c r="J78" s="139"/>
      <c r="K78" s="151">
        <f t="shared" si="13"/>
        <v>6498.1166799999992</v>
      </c>
      <c r="L78" s="151">
        <f t="shared" si="13"/>
        <v>0</v>
      </c>
      <c r="M78" s="151">
        <f t="shared" si="13"/>
        <v>6498.1166799999992</v>
      </c>
    </row>
    <row r="79" spans="1:13" s="153" customFormat="1" ht="79.5" hidden="1" customHeight="1">
      <c r="A79" s="140"/>
      <c r="B79" s="149" t="s">
        <v>143</v>
      </c>
      <c r="C79" s="150" t="s">
        <v>13</v>
      </c>
      <c r="D79" s="139" t="s">
        <v>119</v>
      </c>
      <c r="E79" s="139" t="s">
        <v>139</v>
      </c>
      <c r="F79" s="778" t="s">
        <v>141</v>
      </c>
      <c r="G79" s="779" t="s">
        <v>98</v>
      </c>
      <c r="H79" s="779" t="s">
        <v>90</v>
      </c>
      <c r="I79" s="780" t="s">
        <v>97</v>
      </c>
      <c r="J79" s="139"/>
      <c r="K79" s="151">
        <f>K80+K82+K84+K86+K88</f>
        <v>6498.1166799999992</v>
      </c>
      <c r="L79" s="151">
        <f>L80+L82+L84+L86+L88</f>
        <v>0</v>
      </c>
      <c r="M79" s="151">
        <f>M80+M82+M84+M86+M88</f>
        <v>6498.1166799999992</v>
      </c>
    </row>
    <row r="80" spans="1:13" s="153" customFormat="1" ht="77.25" hidden="1" customHeight="1">
      <c r="A80" s="140"/>
      <c r="B80" s="157" t="s">
        <v>144</v>
      </c>
      <c r="C80" s="150" t="s">
        <v>13</v>
      </c>
      <c r="D80" s="139" t="s">
        <v>119</v>
      </c>
      <c r="E80" s="139" t="s">
        <v>139</v>
      </c>
      <c r="F80" s="778" t="s">
        <v>141</v>
      </c>
      <c r="G80" s="779" t="s">
        <v>98</v>
      </c>
      <c r="H80" s="779" t="s">
        <v>90</v>
      </c>
      <c r="I80" s="780" t="s">
        <v>145</v>
      </c>
      <c r="J80" s="139"/>
      <c r="K80" s="151">
        <f>K81</f>
        <v>1353.6766799999998</v>
      </c>
      <c r="L80" s="151">
        <f>L81</f>
        <v>0</v>
      </c>
      <c r="M80" s="151">
        <f>M81</f>
        <v>1353.6766799999998</v>
      </c>
    </row>
    <row r="81" spans="1:13" s="153" customFormat="1" ht="60" hidden="1" customHeight="1">
      <c r="A81" s="140"/>
      <c r="B81" s="724" t="s">
        <v>108</v>
      </c>
      <c r="C81" s="150" t="s">
        <v>13</v>
      </c>
      <c r="D81" s="139" t="s">
        <v>119</v>
      </c>
      <c r="E81" s="139" t="s">
        <v>139</v>
      </c>
      <c r="F81" s="778" t="s">
        <v>141</v>
      </c>
      <c r="G81" s="779" t="s">
        <v>98</v>
      </c>
      <c r="H81" s="779" t="s">
        <v>90</v>
      </c>
      <c r="I81" s="780" t="s">
        <v>145</v>
      </c>
      <c r="J81" s="139" t="s">
        <v>109</v>
      </c>
      <c r="K81" s="151">
        <f>298.4+864.61668+189-188.94+190.6</f>
        <v>1353.6766799999998</v>
      </c>
      <c r="L81" s="151">
        <f>M81-K81</f>
        <v>0</v>
      </c>
      <c r="M81" s="151">
        <f>298.4+864.61668+189-188.94+190.6</f>
        <v>1353.6766799999998</v>
      </c>
    </row>
    <row r="82" spans="1:13" s="153" customFormat="1" ht="56.25" hidden="1">
      <c r="A82" s="140"/>
      <c r="B82" s="149" t="s">
        <v>146</v>
      </c>
      <c r="C82" s="150" t="s">
        <v>13</v>
      </c>
      <c r="D82" s="139" t="s">
        <v>119</v>
      </c>
      <c r="E82" s="139" t="s">
        <v>139</v>
      </c>
      <c r="F82" s="778" t="s">
        <v>141</v>
      </c>
      <c r="G82" s="779" t="s">
        <v>98</v>
      </c>
      <c r="H82" s="779" t="s">
        <v>90</v>
      </c>
      <c r="I82" s="780" t="s">
        <v>147</v>
      </c>
      <c r="J82" s="139"/>
      <c r="K82" s="151">
        <f>K83</f>
        <v>63.9</v>
      </c>
      <c r="L82" s="151">
        <f>L83</f>
        <v>0</v>
      </c>
      <c r="M82" s="151">
        <f>M83</f>
        <v>63.9</v>
      </c>
    </row>
    <row r="83" spans="1:13" s="153" customFormat="1" ht="55.9" hidden="1" customHeight="1">
      <c r="A83" s="140"/>
      <c r="B83" s="724" t="s">
        <v>108</v>
      </c>
      <c r="C83" s="150" t="s">
        <v>13</v>
      </c>
      <c r="D83" s="139" t="s">
        <v>119</v>
      </c>
      <c r="E83" s="139" t="s">
        <v>139</v>
      </c>
      <c r="F83" s="778" t="s">
        <v>141</v>
      </c>
      <c r="G83" s="779" t="s">
        <v>98</v>
      </c>
      <c r="H83" s="779" t="s">
        <v>90</v>
      </c>
      <c r="I83" s="780" t="s">
        <v>147</v>
      </c>
      <c r="J83" s="139" t="s">
        <v>109</v>
      </c>
      <c r="K83" s="151">
        <v>63.9</v>
      </c>
      <c r="L83" s="151">
        <f>M83-K83</f>
        <v>0</v>
      </c>
      <c r="M83" s="151">
        <v>63.9</v>
      </c>
    </row>
    <row r="84" spans="1:13" s="153" customFormat="1" ht="100.5" hidden="1" customHeight="1">
      <c r="A84" s="140"/>
      <c r="B84" s="149" t="s">
        <v>492</v>
      </c>
      <c r="C84" s="150" t="s">
        <v>13</v>
      </c>
      <c r="D84" s="139" t="s">
        <v>119</v>
      </c>
      <c r="E84" s="139" t="s">
        <v>139</v>
      </c>
      <c r="F84" s="778" t="s">
        <v>141</v>
      </c>
      <c r="G84" s="779" t="s">
        <v>98</v>
      </c>
      <c r="H84" s="779" t="s">
        <v>90</v>
      </c>
      <c r="I84" s="780" t="s">
        <v>471</v>
      </c>
      <c r="J84" s="139"/>
      <c r="K84" s="151">
        <f>K85</f>
        <v>2643.1</v>
      </c>
      <c r="L84" s="151">
        <f>L85</f>
        <v>0</v>
      </c>
      <c r="M84" s="151">
        <f>M85</f>
        <v>2643.1</v>
      </c>
    </row>
    <row r="85" spans="1:13" s="153" customFormat="1" ht="18.75" hidden="1">
      <c r="A85" s="140"/>
      <c r="B85" s="149" t="s">
        <v>186</v>
      </c>
      <c r="C85" s="150" t="s">
        <v>13</v>
      </c>
      <c r="D85" s="139" t="s">
        <v>119</v>
      </c>
      <c r="E85" s="139" t="s">
        <v>139</v>
      </c>
      <c r="F85" s="778" t="s">
        <v>141</v>
      </c>
      <c r="G85" s="779" t="s">
        <v>98</v>
      </c>
      <c r="H85" s="779" t="s">
        <v>90</v>
      </c>
      <c r="I85" s="780" t="s">
        <v>471</v>
      </c>
      <c r="J85" s="139" t="s">
        <v>187</v>
      </c>
      <c r="K85" s="151">
        <v>2643.1</v>
      </c>
      <c r="L85" s="151">
        <f>M85-K85</f>
        <v>0</v>
      </c>
      <c r="M85" s="151">
        <v>2643.1</v>
      </c>
    </row>
    <row r="86" spans="1:13" s="153" customFormat="1" ht="131.25" hidden="1">
      <c r="A86" s="140"/>
      <c r="B86" s="149" t="s">
        <v>495</v>
      </c>
      <c r="C86" s="150" t="s">
        <v>13</v>
      </c>
      <c r="D86" s="139" t="s">
        <v>119</v>
      </c>
      <c r="E86" s="139" t="s">
        <v>139</v>
      </c>
      <c r="F86" s="778" t="s">
        <v>141</v>
      </c>
      <c r="G86" s="779" t="s">
        <v>98</v>
      </c>
      <c r="H86" s="779" t="s">
        <v>90</v>
      </c>
      <c r="I86" s="780" t="s">
        <v>472</v>
      </c>
      <c r="J86" s="139"/>
      <c r="K86" s="151">
        <f>K87</f>
        <v>17.800000000000004</v>
      </c>
      <c r="L86" s="151">
        <f>L87</f>
        <v>0</v>
      </c>
      <c r="M86" s="151">
        <f>M87</f>
        <v>17.800000000000004</v>
      </c>
    </row>
    <row r="87" spans="1:13" s="153" customFormat="1" ht="18.75" hidden="1">
      <c r="A87" s="140"/>
      <c r="B87" s="149" t="s">
        <v>186</v>
      </c>
      <c r="C87" s="150" t="s">
        <v>13</v>
      </c>
      <c r="D87" s="139" t="s">
        <v>119</v>
      </c>
      <c r="E87" s="139" t="s">
        <v>139</v>
      </c>
      <c r="F87" s="778" t="s">
        <v>141</v>
      </c>
      <c r="G87" s="779" t="s">
        <v>98</v>
      </c>
      <c r="H87" s="779" t="s">
        <v>90</v>
      </c>
      <c r="I87" s="780" t="s">
        <v>472</v>
      </c>
      <c r="J87" s="139" t="s">
        <v>187</v>
      </c>
      <c r="K87" s="151">
        <f>36.2-18.4</f>
        <v>17.800000000000004</v>
      </c>
      <c r="L87" s="151">
        <f>M87-K87</f>
        <v>0</v>
      </c>
      <c r="M87" s="151">
        <f>36.2-18.4</f>
        <v>17.800000000000004</v>
      </c>
    </row>
    <row r="88" spans="1:13" s="153" customFormat="1" ht="37.5" hidden="1">
      <c r="A88" s="140"/>
      <c r="B88" s="149" t="s">
        <v>827</v>
      </c>
      <c r="C88" s="150" t="s">
        <v>13</v>
      </c>
      <c r="D88" s="139" t="s">
        <v>119</v>
      </c>
      <c r="E88" s="139" t="s">
        <v>139</v>
      </c>
      <c r="F88" s="778" t="s">
        <v>141</v>
      </c>
      <c r="G88" s="779" t="s">
        <v>98</v>
      </c>
      <c r="H88" s="779" t="s">
        <v>90</v>
      </c>
      <c r="I88" s="780" t="s">
        <v>825</v>
      </c>
      <c r="J88" s="139"/>
      <c r="K88" s="151">
        <f>K89</f>
        <v>2419.64</v>
      </c>
      <c r="L88" s="151">
        <f>L89</f>
        <v>0</v>
      </c>
      <c r="M88" s="151">
        <f>M89</f>
        <v>2419.64</v>
      </c>
    </row>
    <row r="89" spans="1:13" s="153" customFormat="1" ht="60.6" hidden="1" customHeight="1">
      <c r="A89" s="140"/>
      <c r="B89" s="724" t="s">
        <v>108</v>
      </c>
      <c r="C89" s="150" t="s">
        <v>13</v>
      </c>
      <c r="D89" s="139" t="s">
        <v>119</v>
      </c>
      <c r="E89" s="139" t="s">
        <v>139</v>
      </c>
      <c r="F89" s="778" t="s">
        <v>141</v>
      </c>
      <c r="G89" s="779" t="s">
        <v>98</v>
      </c>
      <c r="H89" s="779" t="s">
        <v>90</v>
      </c>
      <c r="I89" s="780" t="s">
        <v>825</v>
      </c>
      <c r="J89" s="139" t="s">
        <v>109</v>
      </c>
      <c r="K89" s="151">
        <f>1880.44+485+54.2</f>
        <v>2419.64</v>
      </c>
      <c r="L89" s="151">
        <f>M89-K89</f>
        <v>0</v>
      </c>
      <c r="M89" s="151">
        <f>1880.44+485+54.2</f>
        <v>2419.64</v>
      </c>
    </row>
    <row r="90" spans="1:13" s="153" customFormat="1" ht="56.25" hidden="1">
      <c r="A90" s="140"/>
      <c r="B90" s="156" t="s">
        <v>148</v>
      </c>
      <c r="C90" s="150" t="s">
        <v>13</v>
      </c>
      <c r="D90" s="139" t="s">
        <v>119</v>
      </c>
      <c r="E90" s="139" t="s">
        <v>149</v>
      </c>
      <c r="F90" s="778"/>
      <c r="G90" s="779"/>
      <c r="H90" s="779"/>
      <c r="I90" s="780"/>
      <c r="J90" s="139"/>
      <c r="K90" s="151">
        <f>K91</f>
        <v>9079.8639999999978</v>
      </c>
      <c r="L90" s="151">
        <f>L91</f>
        <v>0</v>
      </c>
      <c r="M90" s="151">
        <f>M91</f>
        <v>9079.8639999999978</v>
      </c>
    </row>
    <row r="91" spans="1:13" s="153" customFormat="1" ht="61.5" hidden="1" customHeight="1">
      <c r="A91" s="140"/>
      <c r="B91" s="149" t="s">
        <v>140</v>
      </c>
      <c r="C91" s="150" t="s">
        <v>13</v>
      </c>
      <c r="D91" s="139" t="s">
        <v>119</v>
      </c>
      <c r="E91" s="139" t="s">
        <v>149</v>
      </c>
      <c r="F91" s="778" t="s">
        <v>141</v>
      </c>
      <c r="G91" s="779" t="s">
        <v>95</v>
      </c>
      <c r="H91" s="779" t="s">
        <v>96</v>
      </c>
      <c r="I91" s="780" t="s">
        <v>97</v>
      </c>
      <c r="J91" s="139"/>
      <c r="K91" s="151">
        <f>K92+K101+K110</f>
        <v>9079.8639999999978</v>
      </c>
      <c r="L91" s="151">
        <f>L92+L101+L110</f>
        <v>0</v>
      </c>
      <c r="M91" s="151">
        <f>M92+M101+M110</f>
        <v>9079.8639999999978</v>
      </c>
    </row>
    <row r="92" spans="1:13" s="153" customFormat="1" ht="37.5" hidden="1">
      <c r="A92" s="140"/>
      <c r="B92" s="156" t="s">
        <v>188</v>
      </c>
      <c r="C92" s="150" t="s">
        <v>13</v>
      </c>
      <c r="D92" s="139" t="s">
        <v>119</v>
      </c>
      <c r="E92" s="139" t="s">
        <v>149</v>
      </c>
      <c r="F92" s="778" t="s">
        <v>141</v>
      </c>
      <c r="G92" s="779" t="s">
        <v>150</v>
      </c>
      <c r="H92" s="779" t="s">
        <v>96</v>
      </c>
      <c r="I92" s="780" t="s">
        <v>97</v>
      </c>
      <c r="J92" s="139"/>
      <c r="K92" s="151">
        <f>K98+K93</f>
        <v>380.31</v>
      </c>
      <c r="L92" s="151">
        <f>L98+L93</f>
        <v>0</v>
      </c>
      <c r="M92" s="151">
        <f>M98+M93</f>
        <v>380.31</v>
      </c>
    </row>
    <row r="93" spans="1:13" s="153" customFormat="1" ht="40.5" hidden="1" customHeight="1">
      <c r="A93" s="140"/>
      <c r="B93" s="156" t="s">
        <v>377</v>
      </c>
      <c r="C93" s="150" t="s">
        <v>13</v>
      </c>
      <c r="D93" s="139" t="s">
        <v>119</v>
      </c>
      <c r="E93" s="139" t="s">
        <v>149</v>
      </c>
      <c r="F93" s="778" t="s">
        <v>141</v>
      </c>
      <c r="G93" s="779" t="s">
        <v>150</v>
      </c>
      <c r="H93" s="779" t="s">
        <v>90</v>
      </c>
      <c r="I93" s="780" t="s">
        <v>97</v>
      </c>
      <c r="J93" s="139"/>
      <c r="K93" s="151">
        <f>K96+K94</f>
        <v>166.5</v>
      </c>
      <c r="L93" s="151">
        <f>L96+L94</f>
        <v>0</v>
      </c>
      <c r="M93" s="151">
        <f>M96+M94</f>
        <v>166.5</v>
      </c>
    </row>
    <row r="94" spans="1:13" s="153" customFormat="1" ht="37.5" hidden="1">
      <c r="A94" s="140"/>
      <c r="B94" s="154" t="s">
        <v>190</v>
      </c>
      <c r="C94" s="150" t="s">
        <v>13</v>
      </c>
      <c r="D94" s="139" t="s">
        <v>119</v>
      </c>
      <c r="E94" s="139" t="s">
        <v>149</v>
      </c>
      <c r="F94" s="778" t="s">
        <v>141</v>
      </c>
      <c r="G94" s="779" t="s">
        <v>150</v>
      </c>
      <c r="H94" s="779" t="s">
        <v>90</v>
      </c>
      <c r="I94" s="780" t="s">
        <v>152</v>
      </c>
      <c r="J94" s="139"/>
      <c r="K94" s="151">
        <f>K95</f>
        <v>20.100000000000001</v>
      </c>
      <c r="L94" s="151">
        <f>L95</f>
        <v>0</v>
      </c>
      <c r="M94" s="151">
        <f>M95</f>
        <v>20.100000000000001</v>
      </c>
    </row>
    <row r="95" spans="1:13" s="153" customFormat="1" ht="53.45" hidden="1" customHeight="1">
      <c r="A95" s="140"/>
      <c r="B95" s="724" t="s">
        <v>108</v>
      </c>
      <c r="C95" s="150" t="s">
        <v>13</v>
      </c>
      <c r="D95" s="139" t="s">
        <v>119</v>
      </c>
      <c r="E95" s="139" t="s">
        <v>149</v>
      </c>
      <c r="F95" s="778" t="s">
        <v>141</v>
      </c>
      <c r="G95" s="779" t="s">
        <v>150</v>
      </c>
      <c r="H95" s="779" t="s">
        <v>90</v>
      </c>
      <c r="I95" s="780" t="s">
        <v>152</v>
      </c>
      <c r="J95" s="139" t="s">
        <v>109</v>
      </c>
      <c r="K95" s="151">
        <v>20.100000000000001</v>
      </c>
      <c r="L95" s="151">
        <f>M95-K95</f>
        <v>0</v>
      </c>
      <c r="M95" s="151">
        <v>20.100000000000001</v>
      </c>
    </row>
    <row r="96" spans="1:13" s="153" customFormat="1" ht="112.5" hidden="1">
      <c r="A96" s="140"/>
      <c r="B96" s="156" t="s">
        <v>493</v>
      </c>
      <c r="C96" s="150" t="s">
        <v>13</v>
      </c>
      <c r="D96" s="139" t="s">
        <v>119</v>
      </c>
      <c r="E96" s="139" t="s">
        <v>149</v>
      </c>
      <c r="F96" s="778" t="s">
        <v>141</v>
      </c>
      <c r="G96" s="779" t="s">
        <v>150</v>
      </c>
      <c r="H96" s="779" t="s">
        <v>90</v>
      </c>
      <c r="I96" s="780" t="s">
        <v>473</v>
      </c>
      <c r="J96" s="139"/>
      <c r="K96" s="151">
        <f>K97</f>
        <v>146.4</v>
      </c>
      <c r="L96" s="151">
        <f>L97</f>
        <v>0</v>
      </c>
      <c r="M96" s="151">
        <f>M97</f>
        <v>146.4</v>
      </c>
    </row>
    <row r="97" spans="1:13" s="153" customFormat="1" ht="18.75" hidden="1">
      <c r="A97" s="140"/>
      <c r="B97" s="156" t="s">
        <v>186</v>
      </c>
      <c r="C97" s="150" t="s">
        <v>13</v>
      </c>
      <c r="D97" s="139" t="s">
        <v>119</v>
      </c>
      <c r="E97" s="139" t="s">
        <v>149</v>
      </c>
      <c r="F97" s="778" t="s">
        <v>141</v>
      </c>
      <c r="G97" s="779" t="s">
        <v>150</v>
      </c>
      <c r="H97" s="779" t="s">
        <v>90</v>
      </c>
      <c r="I97" s="780" t="s">
        <v>473</v>
      </c>
      <c r="J97" s="139" t="s">
        <v>187</v>
      </c>
      <c r="K97" s="151">
        <f>177-30.6</f>
        <v>146.4</v>
      </c>
      <c r="L97" s="151">
        <f>M97-K97</f>
        <v>0</v>
      </c>
      <c r="M97" s="151">
        <f>177-30.6</f>
        <v>146.4</v>
      </c>
    </row>
    <row r="98" spans="1:13" s="153" customFormat="1" ht="56.25" hidden="1">
      <c r="A98" s="140"/>
      <c r="B98" s="154" t="s">
        <v>189</v>
      </c>
      <c r="C98" s="150" t="s">
        <v>13</v>
      </c>
      <c r="D98" s="139" t="s">
        <v>119</v>
      </c>
      <c r="E98" s="139" t="s">
        <v>149</v>
      </c>
      <c r="F98" s="778" t="s">
        <v>141</v>
      </c>
      <c r="G98" s="779" t="s">
        <v>150</v>
      </c>
      <c r="H98" s="779" t="s">
        <v>92</v>
      </c>
      <c r="I98" s="780" t="s">
        <v>97</v>
      </c>
      <c r="J98" s="139"/>
      <c r="K98" s="151">
        <f t="shared" ref="K98:M99" si="14">K99</f>
        <v>213.81</v>
      </c>
      <c r="L98" s="151">
        <f t="shared" si="14"/>
        <v>0</v>
      </c>
      <c r="M98" s="151">
        <f t="shared" si="14"/>
        <v>213.81</v>
      </c>
    </row>
    <row r="99" spans="1:13" s="153" customFormat="1" ht="37.5" hidden="1">
      <c r="A99" s="140"/>
      <c r="B99" s="154" t="s">
        <v>190</v>
      </c>
      <c r="C99" s="150" t="s">
        <v>13</v>
      </c>
      <c r="D99" s="139" t="s">
        <v>119</v>
      </c>
      <c r="E99" s="139" t="s">
        <v>149</v>
      </c>
      <c r="F99" s="778" t="s">
        <v>141</v>
      </c>
      <c r="G99" s="779" t="s">
        <v>150</v>
      </c>
      <c r="H99" s="779" t="s">
        <v>92</v>
      </c>
      <c r="I99" s="780" t="s">
        <v>152</v>
      </c>
      <c r="J99" s="139"/>
      <c r="K99" s="151">
        <f t="shared" si="14"/>
        <v>213.81</v>
      </c>
      <c r="L99" s="151">
        <f t="shared" si="14"/>
        <v>0</v>
      </c>
      <c r="M99" s="151">
        <f t="shared" si="14"/>
        <v>213.81</v>
      </c>
    </row>
    <row r="100" spans="1:13" s="153" customFormat="1" ht="53.45" hidden="1" customHeight="1">
      <c r="A100" s="140"/>
      <c r="B100" s="724" t="s">
        <v>108</v>
      </c>
      <c r="C100" s="150" t="s">
        <v>13</v>
      </c>
      <c r="D100" s="139" t="s">
        <v>119</v>
      </c>
      <c r="E100" s="139" t="s">
        <v>149</v>
      </c>
      <c r="F100" s="778" t="s">
        <v>141</v>
      </c>
      <c r="G100" s="779" t="s">
        <v>150</v>
      </c>
      <c r="H100" s="779" t="s">
        <v>92</v>
      </c>
      <c r="I100" s="780" t="s">
        <v>152</v>
      </c>
      <c r="J100" s="139" t="s">
        <v>109</v>
      </c>
      <c r="K100" s="151">
        <f>247-33.19</f>
        <v>213.81</v>
      </c>
      <c r="L100" s="151">
        <f>M100-K100</f>
        <v>0</v>
      </c>
      <c r="M100" s="151">
        <f>247-33.19</f>
        <v>213.81</v>
      </c>
    </row>
    <row r="101" spans="1:13" s="153" customFormat="1" ht="75" hidden="1">
      <c r="A101" s="140"/>
      <c r="B101" s="156" t="s">
        <v>563</v>
      </c>
      <c r="C101" s="150" t="s">
        <v>13</v>
      </c>
      <c r="D101" s="139" t="s">
        <v>119</v>
      </c>
      <c r="E101" s="139" t="s">
        <v>149</v>
      </c>
      <c r="F101" s="778" t="s">
        <v>141</v>
      </c>
      <c r="G101" s="779" t="s">
        <v>83</v>
      </c>
      <c r="H101" s="779" t="s">
        <v>96</v>
      </c>
      <c r="I101" s="780" t="s">
        <v>97</v>
      </c>
      <c r="J101" s="139"/>
      <c r="K101" s="151">
        <f>K102+K107</f>
        <v>8357.5539999999983</v>
      </c>
      <c r="L101" s="151">
        <f>L102+L107</f>
        <v>0</v>
      </c>
      <c r="M101" s="151">
        <f>M102+M107</f>
        <v>8357.5539999999983</v>
      </c>
    </row>
    <row r="102" spans="1:13" s="153" customFormat="1" ht="78.75" hidden="1" customHeight="1">
      <c r="A102" s="140"/>
      <c r="B102" s="154" t="s">
        <v>464</v>
      </c>
      <c r="C102" s="150" t="s">
        <v>13</v>
      </c>
      <c r="D102" s="139" t="s">
        <v>119</v>
      </c>
      <c r="E102" s="139" t="s">
        <v>149</v>
      </c>
      <c r="F102" s="778" t="s">
        <v>141</v>
      </c>
      <c r="G102" s="779" t="s">
        <v>83</v>
      </c>
      <c r="H102" s="779" t="s">
        <v>90</v>
      </c>
      <c r="I102" s="780" t="s">
        <v>97</v>
      </c>
      <c r="J102" s="139"/>
      <c r="K102" s="151">
        <f t="shared" ref="K102:M102" si="15">K103</f>
        <v>8271.753999999999</v>
      </c>
      <c r="L102" s="151">
        <f>L103</f>
        <v>0</v>
      </c>
      <c r="M102" s="151">
        <f t="shared" si="15"/>
        <v>8271.753999999999</v>
      </c>
    </row>
    <row r="103" spans="1:13" s="153" customFormat="1" ht="79.900000000000006" hidden="1" customHeight="1">
      <c r="A103" s="140"/>
      <c r="B103" s="725" t="s">
        <v>151</v>
      </c>
      <c r="C103" s="150" t="s">
        <v>13</v>
      </c>
      <c r="D103" s="139" t="s">
        <v>119</v>
      </c>
      <c r="E103" s="139" t="s">
        <v>149</v>
      </c>
      <c r="F103" s="778" t="s">
        <v>141</v>
      </c>
      <c r="G103" s="779" t="s">
        <v>83</v>
      </c>
      <c r="H103" s="779" t="s">
        <v>90</v>
      </c>
      <c r="I103" s="780" t="s">
        <v>153</v>
      </c>
      <c r="J103" s="139"/>
      <c r="K103" s="151">
        <f>K104+K105+K106</f>
        <v>8271.753999999999</v>
      </c>
      <c r="L103" s="151">
        <f>L104+L105+L106</f>
        <v>0</v>
      </c>
      <c r="M103" s="151">
        <f>M104+M105+M106</f>
        <v>8271.753999999999</v>
      </c>
    </row>
    <row r="104" spans="1:13" s="153" customFormat="1" ht="95.45" hidden="1" customHeight="1">
      <c r="A104" s="140"/>
      <c r="B104" s="724" t="s">
        <v>102</v>
      </c>
      <c r="C104" s="150" t="s">
        <v>13</v>
      </c>
      <c r="D104" s="139" t="s">
        <v>119</v>
      </c>
      <c r="E104" s="139" t="s">
        <v>149</v>
      </c>
      <c r="F104" s="778" t="s">
        <v>141</v>
      </c>
      <c r="G104" s="779" t="s">
        <v>83</v>
      </c>
      <c r="H104" s="779" t="s">
        <v>90</v>
      </c>
      <c r="I104" s="780" t="s">
        <v>153</v>
      </c>
      <c r="J104" s="139" t="s">
        <v>103</v>
      </c>
      <c r="K104" s="151">
        <f>6116.6+3.4+23.5</f>
        <v>6143.5</v>
      </c>
      <c r="L104" s="151">
        <f>M104-K104</f>
        <v>0</v>
      </c>
      <c r="M104" s="151">
        <f>6116.6+3.4+23.5</f>
        <v>6143.5</v>
      </c>
    </row>
    <row r="105" spans="1:13" s="153" customFormat="1" ht="58.15" hidden="1" customHeight="1">
      <c r="A105" s="140"/>
      <c r="B105" s="724" t="s">
        <v>108</v>
      </c>
      <c r="C105" s="150" t="s">
        <v>13</v>
      </c>
      <c r="D105" s="139" t="s">
        <v>119</v>
      </c>
      <c r="E105" s="139" t="s">
        <v>149</v>
      </c>
      <c r="F105" s="778" t="s">
        <v>141</v>
      </c>
      <c r="G105" s="779" t="s">
        <v>83</v>
      </c>
      <c r="H105" s="779" t="s">
        <v>90</v>
      </c>
      <c r="I105" s="780" t="s">
        <v>153</v>
      </c>
      <c r="J105" s="139" t="s">
        <v>109</v>
      </c>
      <c r="K105" s="151">
        <f>1002.7+62.4+0.754+66.6+885.5+10+62.9</f>
        <v>2090.8539999999998</v>
      </c>
      <c r="L105" s="151">
        <f>M105-K105</f>
        <v>0</v>
      </c>
      <c r="M105" s="151">
        <f>1002.7+62.4+0.754+66.6+885.5+10+62.9</f>
        <v>2090.8539999999998</v>
      </c>
    </row>
    <row r="106" spans="1:13" s="153" customFormat="1" ht="18.75" hidden="1">
      <c r="A106" s="140"/>
      <c r="B106" s="149" t="s">
        <v>110</v>
      </c>
      <c r="C106" s="150" t="s">
        <v>13</v>
      </c>
      <c r="D106" s="139" t="s">
        <v>119</v>
      </c>
      <c r="E106" s="139" t="s">
        <v>149</v>
      </c>
      <c r="F106" s="778" t="s">
        <v>141</v>
      </c>
      <c r="G106" s="779" t="s">
        <v>83</v>
      </c>
      <c r="H106" s="779" t="s">
        <v>90</v>
      </c>
      <c r="I106" s="780" t="s">
        <v>153</v>
      </c>
      <c r="J106" s="139" t="s">
        <v>111</v>
      </c>
      <c r="K106" s="151">
        <v>37.4</v>
      </c>
      <c r="L106" s="151">
        <f t="shared" ref="L106:L108" si="16">M106-K106</f>
        <v>0</v>
      </c>
      <c r="M106" s="151">
        <v>37.4</v>
      </c>
    </row>
    <row r="107" spans="1:13" s="153" customFormat="1" ht="37.5" hidden="1">
      <c r="A107" s="140"/>
      <c r="B107" s="158" t="s">
        <v>863</v>
      </c>
      <c r="C107" s="150" t="s">
        <v>13</v>
      </c>
      <c r="D107" s="139" t="s">
        <v>119</v>
      </c>
      <c r="E107" s="139" t="s">
        <v>149</v>
      </c>
      <c r="F107" s="778" t="s">
        <v>141</v>
      </c>
      <c r="G107" s="779" t="s">
        <v>83</v>
      </c>
      <c r="H107" s="779" t="s">
        <v>92</v>
      </c>
      <c r="I107" s="780" t="s">
        <v>97</v>
      </c>
      <c r="J107" s="139"/>
      <c r="K107" s="151">
        <f>K108</f>
        <v>85.8</v>
      </c>
      <c r="L107" s="151">
        <f t="shared" si="16"/>
        <v>0</v>
      </c>
      <c r="M107" s="151">
        <f>M108</f>
        <v>85.8</v>
      </c>
    </row>
    <row r="108" spans="1:13" s="153" customFormat="1" ht="56.25" hidden="1">
      <c r="A108" s="140"/>
      <c r="B108" s="158" t="s">
        <v>146</v>
      </c>
      <c r="C108" s="150" t="s">
        <v>13</v>
      </c>
      <c r="D108" s="139" t="s">
        <v>119</v>
      </c>
      <c r="E108" s="139" t="s">
        <v>149</v>
      </c>
      <c r="F108" s="778" t="s">
        <v>141</v>
      </c>
      <c r="G108" s="779" t="s">
        <v>83</v>
      </c>
      <c r="H108" s="779" t="s">
        <v>92</v>
      </c>
      <c r="I108" s="780" t="s">
        <v>147</v>
      </c>
      <c r="J108" s="139"/>
      <c r="K108" s="151">
        <f>K109</f>
        <v>85.8</v>
      </c>
      <c r="L108" s="151">
        <f t="shared" si="16"/>
        <v>0</v>
      </c>
      <c r="M108" s="151">
        <f>M109</f>
        <v>85.8</v>
      </c>
    </row>
    <row r="109" spans="1:13" s="153" customFormat="1" ht="53.45" hidden="1" customHeight="1">
      <c r="A109" s="140"/>
      <c r="B109" s="724" t="s">
        <v>108</v>
      </c>
      <c r="C109" s="150" t="s">
        <v>13</v>
      </c>
      <c r="D109" s="139" t="s">
        <v>119</v>
      </c>
      <c r="E109" s="139" t="s">
        <v>149</v>
      </c>
      <c r="F109" s="778" t="s">
        <v>141</v>
      </c>
      <c r="G109" s="779" t="s">
        <v>83</v>
      </c>
      <c r="H109" s="779" t="s">
        <v>92</v>
      </c>
      <c r="I109" s="780" t="s">
        <v>147</v>
      </c>
      <c r="J109" s="139" t="s">
        <v>109</v>
      </c>
      <c r="K109" s="151">
        <f>85.8</f>
        <v>85.8</v>
      </c>
      <c r="L109" s="151">
        <f>M109-K109</f>
        <v>0</v>
      </c>
      <c r="M109" s="151">
        <f>85.8</f>
        <v>85.8</v>
      </c>
    </row>
    <row r="110" spans="1:13" s="153" customFormat="1" ht="61.5" hidden="1" customHeight="1">
      <c r="A110" s="140"/>
      <c r="B110" s="514" t="s">
        <v>828</v>
      </c>
      <c r="C110" s="150" t="s">
        <v>13</v>
      </c>
      <c r="D110" s="139" t="s">
        <v>119</v>
      </c>
      <c r="E110" s="139" t="s">
        <v>149</v>
      </c>
      <c r="F110" s="778" t="s">
        <v>141</v>
      </c>
      <c r="G110" s="779" t="s">
        <v>84</v>
      </c>
      <c r="H110" s="779" t="s">
        <v>96</v>
      </c>
      <c r="I110" s="780" t="s">
        <v>97</v>
      </c>
      <c r="J110" s="139"/>
      <c r="K110" s="151">
        <f t="shared" ref="K110:M112" si="17">K111</f>
        <v>342</v>
      </c>
      <c r="L110" s="151">
        <f t="shared" si="17"/>
        <v>0</v>
      </c>
      <c r="M110" s="151">
        <f t="shared" si="17"/>
        <v>342</v>
      </c>
    </row>
    <row r="111" spans="1:13" s="153" customFormat="1" ht="75" hidden="1">
      <c r="A111" s="140"/>
      <c r="B111" s="515" t="s">
        <v>829</v>
      </c>
      <c r="C111" s="150" t="s">
        <v>13</v>
      </c>
      <c r="D111" s="139" t="s">
        <v>119</v>
      </c>
      <c r="E111" s="139" t="s">
        <v>149</v>
      </c>
      <c r="F111" s="778" t="s">
        <v>141</v>
      </c>
      <c r="G111" s="779" t="s">
        <v>84</v>
      </c>
      <c r="H111" s="779" t="s">
        <v>90</v>
      </c>
      <c r="I111" s="780" t="s">
        <v>97</v>
      </c>
      <c r="J111" s="139"/>
      <c r="K111" s="151">
        <f t="shared" si="17"/>
        <v>342</v>
      </c>
      <c r="L111" s="151">
        <f t="shared" si="17"/>
        <v>0</v>
      </c>
      <c r="M111" s="151">
        <f t="shared" si="17"/>
        <v>342</v>
      </c>
    </row>
    <row r="112" spans="1:13" s="153" customFormat="1" ht="56.25" hidden="1">
      <c r="A112" s="140"/>
      <c r="B112" s="149" t="s">
        <v>146</v>
      </c>
      <c r="C112" s="150" t="s">
        <v>13</v>
      </c>
      <c r="D112" s="139" t="s">
        <v>119</v>
      </c>
      <c r="E112" s="139" t="s">
        <v>149</v>
      </c>
      <c r="F112" s="778" t="s">
        <v>141</v>
      </c>
      <c r="G112" s="779" t="s">
        <v>84</v>
      </c>
      <c r="H112" s="779" t="s">
        <v>90</v>
      </c>
      <c r="I112" s="780" t="s">
        <v>147</v>
      </c>
      <c r="J112" s="139"/>
      <c r="K112" s="151">
        <f t="shared" si="17"/>
        <v>342</v>
      </c>
      <c r="L112" s="151">
        <f t="shared" si="17"/>
        <v>0</v>
      </c>
      <c r="M112" s="151">
        <f t="shared" si="17"/>
        <v>342</v>
      </c>
    </row>
    <row r="113" spans="1:13" s="153" customFormat="1" ht="54.6" hidden="1" customHeight="1">
      <c r="A113" s="140"/>
      <c r="B113" s="724" t="s">
        <v>108</v>
      </c>
      <c r="C113" s="150" t="s">
        <v>13</v>
      </c>
      <c r="D113" s="139" t="s">
        <v>119</v>
      </c>
      <c r="E113" s="139" t="s">
        <v>149</v>
      </c>
      <c r="F113" s="778" t="s">
        <v>141</v>
      </c>
      <c r="G113" s="779" t="s">
        <v>84</v>
      </c>
      <c r="H113" s="779" t="s">
        <v>90</v>
      </c>
      <c r="I113" s="780" t="s">
        <v>147</v>
      </c>
      <c r="J113" s="139" t="s">
        <v>109</v>
      </c>
      <c r="K113" s="151">
        <v>342</v>
      </c>
      <c r="L113" s="151">
        <f t="shared" ref="L113" si="18">M113-K113</f>
        <v>0</v>
      </c>
      <c r="M113" s="151">
        <v>342</v>
      </c>
    </row>
    <row r="114" spans="1:13" s="153" customFormat="1" ht="18.75" hidden="1">
      <c r="A114" s="140"/>
      <c r="B114" s="149" t="s">
        <v>154</v>
      </c>
      <c r="C114" s="150" t="s">
        <v>13</v>
      </c>
      <c r="D114" s="139" t="s">
        <v>105</v>
      </c>
      <c r="E114" s="139"/>
      <c r="F114" s="778"/>
      <c r="G114" s="779"/>
      <c r="H114" s="779"/>
      <c r="I114" s="780"/>
      <c r="J114" s="139"/>
      <c r="K114" s="151">
        <f t="shared" ref="K114" si="19">K115+K124+K132</f>
        <v>31441.629400000002</v>
      </c>
      <c r="L114" s="151">
        <f t="shared" ref="L114:M114" si="20">L115+L124+L132</f>
        <v>100</v>
      </c>
      <c r="M114" s="151">
        <f t="shared" si="20"/>
        <v>31541.629400000002</v>
      </c>
    </row>
    <row r="115" spans="1:13" s="136" customFormat="1" ht="18.75" hidden="1">
      <c r="A115" s="140"/>
      <c r="B115" s="149" t="s">
        <v>155</v>
      </c>
      <c r="C115" s="150" t="s">
        <v>13</v>
      </c>
      <c r="D115" s="139" t="s">
        <v>105</v>
      </c>
      <c r="E115" s="139" t="s">
        <v>121</v>
      </c>
      <c r="F115" s="778"/>
      <c r="G115" s="779"/>
      <c r="H115" s="779"/>
      <c r="I115" s="780"/>
      <c r="J115" s="139"/>
      <c r="K115" s="151">
        <f t="shared" ref="K115:M116" si="21">K116</f>
        <v>17441.2</v>
      </c>
      <c r="L115" s="151">
        <f t="shared" si="21"/>
        <v>0</v>
      </c>
      <c r="M115" s="151">
        <f t="shared" si="21"/>
        <v>17441.2</v>
      </c>
    </row>
    <row r="116" spans="1:13" s="153" customFormat="1" ht="62.25" hidden="1" customHeight="1">
      <c r="A116" s="140"/>
      <c r="B116" s="149" t="s">
        <v>156</v>
      </c>
      <c r="C116" s="150" t="s">
        <v>13</v>
      </c>
      <c r="D116" s="139" t="s">
        <v>105</v>
      </c>
      <c r="E116" s="139" t="s">
        <v>121</v>
      </c>
      <c r="F116" s="778" t="s">
        <v>123</v>
      </c>
      <c r="G116" s="779" t="s">
        <v>95</v>
      </c>
      <c r="H116" s="779" t="s">
        <v>96</v>
      </c>
      <c r="I116" s="780" t="s">
        <v>97</v>
      </c>
      <c r="J116" s="139"/>
      <c r="K116" s="151">
        <f t="shared" si="21"/>
        <v>17441.2</v>
      </c>
      <c r="L116" s="151">
        <f t="shared" si="21"/>
        <v>0</v>
      </c>
      <c r="M116" s="151">
        <f t="shared" si="21"/>
        <v>17441.2</v>
      </c>
    </row>
    <row r="117" spans="1:13" s="136" customFormat="1" ht="37.5" hidden="1">
      <c r="A117" s="140"/>
      <c r="B117" s="149" t="s">
        <v>491</v>
      </c>
      <c r="C117" s="150" t="s">
        <v>13</v>
      </c>
      <c r="D117" s="139" t="s">
        <v>105</v>
      </c>
      <c r="E117" s="139" t="s">
        <v>121</v>
      </c>
      <c r="F117" s="778" t="s">
        <v>123</v>
      </c>
      <c r="G117" s="779" t="s">
        <v>98</v>
      </c>
      <c r="H117" s="779" t="s">
        <v>96</v>
      </c>
      <c r="I117" s="780" t="s">
        <v>97</v>
      </c>
      <c r="J117" s="139"/>
      <c r="K117" s="151">
        <f>K118+K121</f>
        <v>17441.2</v>
      </c>
      <c r="L117" s="151">
        <f>L118+L121</f>
        <v>0</v>
      </c>
      <c r="M117" s="151">
        <f>M118+M121</f>
        <v>17441.2</v>
      </c>
    </row>
    <row r="118" spans="1:13" s="136" customFormat="1" ht="56.25" hidden="1">
      <c r="A118" s="140"/>
      <c r="B118" s="149" t="s">
        <v>157</v>
      </c>
      <c r="C118" s="150" t="s">
        <v>13</v>
      </c>
      <c r="D118" s="139" t="s">
        <v>105</v>
      </c>
      <c r="E118" s="139" t="s">
        <v>121</v>
      </c>
      <c r="F118" s="778" t="s">
        <v>123</v>
      </c>
      <c r="G118" s="779" t="s">
        <v>98</v>
      </c>
      <c r="H118" s="779" t="s">
        <v>90</v>
      </c>
      <c r="I118" s="780" t="s">
        <v>97</v>
      </c>
      <c r="J118" s="139"/>
      <c r="K118" s="151">
        <f t="shared" ref="K118:M119" si="22">K119</f>
        <v>17261</v>
      </c>
      <c r="L118" s="151">
        <f t="shared" si="22"/>
        <v>0</v>
      </c>
      <c r="M118" s="151">
        <f t="shared" si="22"/>
        <v>17261</v>
      </c>
    </row>
    <row r="119" spans="1:13" s="136" customFormat="1" ht="18.75" hidden="1">
      <c r="A119" s="140"/>
      <c r="B119" s="149" t="s">
        <v>587</v>
      </c>
      <c r="C119" s="150" t="s">
        <v>13</v>
      </c>
      <c r="D119" s="139" t="s">
        <v>105</v>
      </c>
      <c r="E119" s="139" t="s">
        <v>121</v>
      </c>
      <c r="F119" s="778" t="s">
        <v>123</v>
      </c>
      <c r="G119" s="779" t="s">
        <v>98</v>
      </c>
      <c r="H119" s="779" t="s">
        <v>90</v>
      </c>
      <c r="I119" s="780" t="s">
        <v>158</v>
      </c>
      <c r="J119" s="139"/>
      <c r="K119" s="151">
        <f t="shared" si="22"/>
        <v>17261</v>
      </c>
      <c r="L119" s="151">
        <f t="shared" si="22"/>
        <v>0</v>
      </c>
      <c r="M119" s="151">
        <f t="shared" si="22"/>
        <v>17261</v>
      </c>
    </row>
    <row r="120" spans="1:13" s="153" customFormat="1" ht="18.75" hidden="1">
      <c r="A120" s="140"/>
      <c r="B120" s="149" t="s">
        <v>110</v>
      </c>
      <c r="C120" s="150" t="s">
        <v>13</v>
      </c>
      <c r="D120" s="139" t="s">
        <v>105</v>
      </c>
      <c r="E120" s="139" t="s">
        <v>121</v>
      </c>
      <c r="F120" s="778" t="s">
        <v>123</v>
      </c>
      <c r="G120" s="779" t="s">
        <v>98</v>
      </c>
      <c r="H120" s="779" t="s">
        <v>90</v>
      </c>
      <c r="I120" s="780" t="s">
        <v>158</v>
      </c>
      <c r="J120" s="139" t="s">
        <v>111</v>
      </c>
      <c r="K120" s="151">
        <f>11860+5401</f>
        <v>17261</v>
      </c>
      <c r="L120" s="151">
        <f>M120-K120</f>
        <v>0</v>
      </c>
      <c r="M120" s="151">
        <f>11860+5401</f>
        <v>17261</v>
      </c>
    </row>
    <row r="121" spans="1:13" s="136" customFormat="1" ht="60" hidden="1" customHeight="1">
      <c r="A121" s="140"/>
      <c r="B121" s="149" t="s">
        <v>159</v>
      </c>
      <c r="C121" s="150" t="s">
        <v>13</v>
      </c>
      <c r="D121" s="139" t="s">
        <v>105</v>
      </c>
      <c r="E121" s="139" t="s">
        <v>121</v>
      </c>
      <c r="F121" s="778" t="s">
        <v>123</v>
      </c>
      <c r="G121" s="779" t="s">
        <v>98</v>
      </c>
      <c r="H121" s="779" t="s">
        <v>92</v>
      </c>
      <c r="I121" s="780" t="s">
        <v>97</v>
      </c>
      <c r="J121" s="139"/>
      <c r="K121" s="151">
        <f t="shared" ref="K121:M122" si="23">K122</f>
        <v>180.2</v>
      </c>
      <c r="L121" s="151">
        <f t="shared" si="23"/>
        <v>0</v>
      </c>
      <c r="M121" s="151">
        <f t="shared" si="23"/>
        <v>180.2</v>
      </c>
    </row>
    <row r="122" spans="1:13" s="136" customFormat="1" ht="178.5" hidden="1" customHeight="1">
      <c r="A122" s="140"/>
      <c r="B122" s="149" t="s">
        <v>602</v>
      </c>
      <c r="C122" s="150" t="s">
        <v>13</v>
      </c>
      <c r="D122" s="139" t="s">
        <v>105</v>
      </c>
      <c r="E122" s="139" t="s">
        <v>121</v>
      </c>
      <c r="F122" s="778" t="s">
        <v>123</v>
      </c>
      <c r="G122" s="779" t="s">
        <v>98</v>
      </c>
      <c r="H122" s="779" t="s">
        <v>92</v>
      </c>
      <c r="I122" s="780" t="s">
        <v>160</v>
      </c>
      <c r="J122" s="139"/>
      <c r="K122" s="151">
        <f t="shared" si="23"/>
        <v>180.2</v>
      </c>
      <c r="L122" s="151">
        <f t="shared" si="23"/>
        <v>0</v>
      </c>
      <c r="M122" s="151">
        <f t="shared" si="23"/>
        <v>180.2</v>
      </c>
    </row>
    <row r="123" spans="1:13" s="153" customFormat="1" ht="55.15" hidden="1" customHeight="1">
      <c r="A123" s="140"/>
      <c r="B123" s="724" t="s">
        <v>108</v>
      </c>
      <c r="C123" s="150" t="s">
        <v>13</v>
      </c>
      <c r="D123" s="139" t="s">
        <v>105</v>
      </c>
      <c r="E123" s="139" t="s">
        <v>121</v>
      </c>
      <c r="F123" s="778" t="s">
        <v>123</v>
      </c>
      <c r="G123" s="779" t="s">
        <v>98</v>
      </c>
      <c r="H123" s="779" t="s">
        <v>92</v>
      </c>
      <c r="I123" s="780" t="s">
        <v>160</v>
      </c>
      <c r="J123" s="139" t="s">
        <v>109</v>
      </c>
      <c r="K123" s="151">
        <f>98.5+81.7</f>
        <v>180.2</v>
      </c>
      <c r="L123" s="151">
        <f>M123-K123</f>
        <v>0</v>
      </c>
      <c r="M123" s="151">
        <f>98.5+81.7</f>
        <v>180.2</v>
      </c>
    </row>
    <row r="124" spans="1:13" s="136" customFormat="1" ht="18.75" hidden="1">
      <c r="A124" s="140"/>
      <c r="B124" s="156" t="s">
        <v>161</v>
      </c>
      <c r="C124" s="150" t="s">
        <v>13</v>
      </c>
      <c r="D124" s="139" t="s">
        <v>105</v>
      </c>
      <c r="E124" s="139" t="s">
        <v>139</v>
      </c>
      <c r="F124" s="778"/>
      <c r="G124" s="779"/>
      <c r="H124" s="779"/>
      <c r="I124" s="780"/>
      <c r="J124" s="139"/>
      <c r="K124" s="151">
        <f t="shared" ref="K124:M128" si="24">K125</f>
        <v>5673.0294000000004</v>
      </c>
      <c r="L124" s="151">
        <f t="shared" si="24"/>
        <v>0</v>
      </c>
      <c r="M124" s="151">
        <f t="shared" si="24"/>
        <v>5673.0294000000004</v>
      </c>
    </row>
    <row r="125" spans="1:13" s="153" customFormat="1" ht="56.25" hidden="1">
      <c r="A125" s="140"/>
      <c r="B125" s="149" t="s">
        <v>162</v>
      </c>
      <c r="C125" s="150" t="s">
        <v>13</v>
      </c>
      <c r="D125" s="139" t="s">
        <v>105</v>
      </c>
      <c r="E125" s="139" t="s">
        <v>139</v>
      </c>
      <c r="F125" s="778" t="s">
        <v>163</v>
      </c>
      <c r="G125" s="779" t="s">
        <v>95</v>
      </c>
      <c r="H125" s="779" t="s">
        <v>96</v>
      </c>
      <c r="I125" s="780" t="s">
        <v>97</v>
      </c>
      <c r="J125" s="139"/>
      <c r="K125" s="151">
        <f t="shared" si="24"/>
        <v>5673.0294000000004</v>
      </c>
      <c r="L125" s="151">
        <f t="shared" si="24"/>
        <v>0</v>
      </c>
      <c r="M125" s="151">
        <f t="shared" si="24"/>
        <v>5673.0294000000004</v>
      </c>
    </row>
    <row r="126" spans="1:13" s="136" customFormat="1" ht="37.5" hidden="1">
      <c r="A126" s="140"/>
      <c r="B126" s="149" t="s">
        <v>491</v>
      </c>
      <c r="C126" s="150" t="s">
        <v>13</v>
      </c>
      <c r="D126" s="139" t="s">
        <v>105</v>
      </c>
      <c r="E126" s="139" t="s">
        <v>139</v>
      </c>
      <c r="F126" s="778" t="s">
        <v>163</v>
      </c>
      <c r="G126" s="779" t="s">
        <v>98</v>
      </c>
      <c r="H126" s="779" t="s">
        <v>96</v>
      </c>
      <c r="I126" s="780" t="s">
        <v>97</v>
      </c>
      <c r="J126" s="139"/>
      <c r="K126" s="151">
        <f t="shared" si="24"/>
        <v>5673.0294000000004</v>
      </c>
      <c r="L126" s="151">
        <f t="shared" si="24"/>
        <v>0</v>
      </c>
      <c r="M126" s="151">
        <f t="shared" si="24"/>
        <v>5673.0294000000004</v>
      </c>
    </row>
    <row r="127" spans="1:13" s="136" customFormat="1" ht="93.75" hidden="1">
      <c r="A127" s="140"/>
      <c r="B127" s="149" t="s">
        <v>164</v>
      </c>
      <c r="C127" s="150" t="s">
        <v>13</v>
      </c>
      <c r="D127" s="139" t="s">
        <v>105</v>
      </c>
      <c r="E127" s="139" t="s">
        <v>139</v>
      </c>
      <c r="F127" s="778" t="s">
        <v>163</v>
      </c>
      <c r="G127" s="779" t="s">
        <v>98</v>
      </c>
      <c r="H127" s="779" t="s">
        <v>90</v>
      </c>
      <c r="I127" s="780" t="s">
        <v>97</v>
      </c>
      <c r="J127" s="139"/>
      <c r="K127" s="151">
        <f>K128+K130</f>
        <v>5673.0294000000004</v>
      </c>
      <c r="L127" s="151">
        <f>L128+L130</f>
        <v>0</v>
      </c>
      <c r="M127" s="151">
        <f>M128+M130</f>
        <v>5673.0294000000004</v>
      </c>
    </row>
    <row r="128" spans="1:13" s="136" customFormat="1" ht="93.75" hidden="1">
      <c r="A128" s="140"/>
      <c r="B128" s="157" t="s">
        <v>165</v>
      </c>
      <c r="C128" s="150" t="s">
        <v>13</v>
      </c>
      <c r="D128" s="139" t="s">
        <v>105</v>
      </c>
      <c r="E128" s="139" t="s">
        <v>139</v>
      </c>
      <c r="F128" s="778" t="s">
        <v>163</v>
      </c>
      <c r="G128" s="779" t="s">
        <v>98</v>
      </c>
      <c r="H128" s="779" t="s">
        <v>90</v>
      </c>
      <c r="I128" s="780" t="s">
        <v>166</v>
      </c>
      <c r="J128" s="139"/>
      <c r="K128" s="151">
        <f t="shared" si="24"/>
        <v>4419.3294000000005</v>
      </c>
      <c r="L128" s="151">
        <f>L129</f>
        <v>0</v>
      </c>
      <c r="M128" s="151">
        <f t="shared" si="24"/>
        <v>4419.3294000000005</v>
      </c>
    </row>
    <row r="129" spans="1:13" s="153" customFormat="1" ht="53.45" hidden="1" customHeight="1">
      <c r="A129" s="140"/>
      <c r="B129" s="724" t="s">
        <v>108</v>
      </c>
      <c r="C129" s="150" t="s">
        <v>13</v>
      </c>
      <c r="D129" s="139" t="s">
        <v>105</v>
      </c>
      <c r="E129" s="139" t="s">
        <v>139</v>
      </c>
      <c r="F129" s="778" t="s">
        <v>163</v>
      </c>
      <c r="G129" s="779" t="s">
        <v>98</v>
      </c>
      <c r="H129" s="779" t="s">
        <v>90</v>
      </c>
      <c r="I129" s="780" t="s">
        <v>166</v>
      </c>
      <c r="J129" s="139" t="s">
        <v>109</v>
      </c>
      <c r="K129" s="151">
        <f>4108.3+141.015+1423.7144-1253.7</f>
        <v>4419.3294000000005</v>
      </c>
      <c r="L129" s="151">
        <f>M129-K129</f>
        <v>0</v>
      </c>
      <c r="M129" s="151">
        <f>4108.3+141.015+1423.7144-1253.7</f>
        <v>4419.3294000000005</v>
      </c>
    </row>
    <row r="130" spans="1:13" s="153" customFormat="1" ht="93.75" hidden="1">
      <c r="A130" s="140"/>
      <c r="B130" s="149" t="s">
        <v>867</v>
      </c>
      <c r="C130" s="150" t="s">
        <v>13</v>
      </c>
      <c r="D130" s="139" t="s">
        <v>105</v>
      </c>
      <c r="E130" s="139" t="s">
        <v>139</v>
      </c>
      <c r="F130" s="778" t="s">
        <v>163</v>
      </c>
      <c r="G130" s="779" t="s">
        <v>98</v>
      </c>
      <c r="H130" s="779" t="s">
        <v>90</v>
      </c>
      <c r="I130" s="780" t="s">
        <v>866</v>
      </c>
      <c r="J130" s="139"/>
      <c r="K130" s="151">
        <f>K131</f>
        <v>1253.7</v>
      </c>
      <c r="L130" s="151">
        <f>L131</f>
        <v>0</v>
      </c>
      <c r="M130" s="151">
        <f>M131</f>
        <v>1253.7</v>
      </c>
    </row>
    <row r="131" spans="1:13" s="153" customFormat="1" ht="54" hidden="1" customHeight="1">
      <c r="A131" s="140"/>
      <c r="B131" s="724" t="s">
        <v>108</v>
      </c>
      <c r="C131" s="150" t="s">
        <v>13</v>
      </c>
      <c r="D131" s="139" t="s">
        <v>105</v>
      </c>
      <c r="E131" s="139" t="s">
        <v>139</v>
      </c>
      <c r="F131" s="778" t="s">
        <v>163</v>
      </c>
      <c r="G131" s="779" t="s">
        <v>98</v>
      </c>
      <c r="H131" s="779" t="s">
        <v>90</v>
      </c>
      <c r="I131" s="780" t="s">
        <v>866</v>
      </c>
      <c r="J131" s="139" t="s">
        <v>109</v>
      </c>
      <c r="K131" s="151">
        <v>1253.7</v>
      </c>
      <c r="L131" s="151">
        <f>M131-K131</f>
        <v>0</v>
      </c>
      <c r="M131" s="151">
        <v>1253.7</v>
      </c>
    </row>
    <row r="132" spans="1:13" s="136" customFormat="1" ht="37.5" hidden="1">
      <c r="A132" s="140"/>
      <c r="B132" s="156" t="s">
        <v>169</v>
      </c>
      <c r="C132" s="150" t="s">
        <v>13</v>
      </c>
      <c r="D132" s="139" t="s">
        <v>105</v>
      </c>
      <c r="E132" s="139" t="s">
        <v>163</v>
      </c>
      <c r="F132" s="778"/>
      <c r="G132" s="779"/>
      <c r="H132" s="779"/>
      <c r="I132" s="780"/>
      <c r="J132" s="139"/>
      <c r="K132" s="151">
        <f t="shared" ref="K132:M132" si="25">K133+K142+K149</f>
        <v>8327.4000000000015</v>
      </c>
      <c r="L132" s="151">
        <f>L133+L142+L149</f>
        <v>100</v>
      </c>
      <c r="M132" s="151">
        <f t="shared" si="25"/>
        <v>8427.4000000000015</v>
      </c>
    </row>
    <row r="133" spans="1:13" s="153" customFormat="1" ht="75" hidden="1">
      <c r="A133" s="140"/>
      <c r="B133" s="149" t="s">
        <v>170</v>
      </c>
      <c r="C133" s="150" t="s">
        <v>13</v>
      </c>
      <c r="D133" s="139" t="s">
        <v>105</v>
      </c>
      <c r="E133" s="139" t="s">
        <v>163</v>
      </c>
      <c r="F133" s="778" t="s">
        <v>130</v>
      </c>
      <c r="G133" s="779" t="s">
        <v>95</v>
      </c>
      <c r="H133" s="779" t="s">
        <v>96</v>
      </c>
      <c r="I133" s="780" t="s">
        <v>97</v>
      </c>
      <c r="J133" s="139"/>
      <c r="K133" s="151">
        <f t="shared" ref="K133" si="26">K134+K138</f>
        <v>1157.8</v>
      </c>
      <c r="L133" s="151">
        <f t="shared" ref="L133:M133" si="27">L134+L138</f>
        <v>0</v>
      </c>
      <c r="M133" s="151">
        <f t="shared" si="27"/>
        <v>1157.8</v>
      </c>
    </row>
    <row r="134" spans="1:13" s="153" customFormat="1" ht="56.25" hidden="1">
      <c r="A134" s="140"/>
      <c r="B134" s="156" t="s">
        <v>171</v>
      </c>
      <c r="C134" s="150" t="s">
        <v>13</v>
      </c>
      <c r="D134" s="139" t="s">
        <v>105</v>
      </c>
      <c r="E134" s="139" t="s">
        <v>163</v>
      </c>
      <c r="F134" s="778" t="s">
        <v>130</v>
      </c>
      <c r="G134" s="779" t="s">
        <v>98</v>
      </c>
      <c r="H134" s="779" t="s">
        <v>96</v>
      </c>
      <c r="I134" s="780" t="s">
        <v>97</v>
      </c>
      <c r="J134" s="139"/>
      <c r="K134" s="151">
        <f t="shared" ref="K134:M136" si="28">K135</f>
        <v>184.7</v>
      </c>
      <c r="L134" s="151">
        <f t="shared" si="28"/>
        <v>0</v>
      </c>
      <c r="M134" s="151">
        <f t="shared" si="28"/>
        <v>184.7</v>
      </c>
    </row>
    <row r="135" spans="1:13" s="136" customFormat="1" ht="37.5" hidden="1">
      <c r="A135" s="140"/>
      <c r="B135" s="149" t="s">
        <v>172</v>
      </c>
      <c r="C135" s="150" t="s">
        <v>13</v>
      </c>
      <c r="D135" s="139" t="s">
        <v>105</v>
      </c>
      <c r="E135" s="139" t="s">
        <v>163</v>
      </c>
      <c r="F135" s="778" t="s">
        <v>130</v>
      </c>
      <c r="G135" s="779" t="s">
        <v>98</v>
      </c>
      <c r="H135" s="779" t="s">
        <v>90</v>
      </c>
      <c r="I135" s="780" t="s">
        <v>97</v>
      </c>
      <c r="J135" s="139"/>
      <c r="K135" s="151">
        <f t="shared" si="28"/>
        <v>184.7</v>
      </c>
      <c r="L135" s="151">
        <f t="shared" si="28"/>
        <v>0</v>
      </c>
      <c r="M135" s="151">
        <f t="shared" si="28"/>
        <v>184.7</v>
      </c>
    </row>
    <row r="136" spans="1:13" s="153" customFormat="1" ht="37.5" hidden="1">
      <c r="A136" s="140"/>
      <c r="B136" s="156" t="s">
        <v>173</v>
      </c>
      <c r="C136" s="150" t="s">
        <v>13</v>
      </c>
      <c r="D136" s="139" t="s">
        <v>105</v>
      </c>
      <c r="E136" s="139" t="s">
        <v>163</v>
      </c>
      <c r="F136" s="778" t="s">
        <v>130</v>
      </c>
      <c r="G136" s="779" t="s">
        <v>98</v>
      </c>
      <c r="H136" s="779" t="s">
        <v>90</v>
      </c>
      <c r="I136" s="780" t="s">
        <v>174</v>
      </c>
      <c r="J136" s="139"/>
      <c r="K136" s="151">
        <f t="shared" si="28"/>
        <v>184.7</v>
      </c>
      <c r="L136" s="151">
        <f t="shared" si="28"/>
        <v>0</v>
      </c>
      <c r="M136" s="151">
        <f t="shared" si="28"/>
        <v>184.7</v>
      </c>
    </row>
    <row r="137" spans="1:13" s="136" customFormat="1" ht="56.45" hidden="1" customHeight="1">
      <c r="A137" s="140"/>
      <c r="B137" s="724" t="s">
        <v>108</v>
      </c>
      <c r="C137" s="150" t="s">
        <v>13</v>
      </c>
      <c r="D137" s="139" t="s">
        <v>105</v>
      </c>
      <c r="E137" s="139" t="s">
        <v>163</v>
      </c>
      <c r="F137" s="778" t="s">
        <v>130</v>
      </c>
      <c r="G137" s="779" t="s">
        <v>98</v>
      </c>
      <c r="H137" s="779" t="s">
        <v>90</v>
      </c>
      <c r="I137" s="780" t="s">
        <v>174</v>
      </c>
      <c r="J137" s="139" t="s">
        <v>109</v>
      </c>
      <c r="K137" s="151">
        <v>184.7</v>
      </c>
      <c r="L137" s="151">
        <f>M137-K137</f>
        <v>0</v>
      </c>
      <c r="M137" s="151">
        <v>184.7</v>
      </c>
    </row>
    <row r="138" spans="1:13" s="153" customFormat="1" ht="37.5" hidden="1">
      <c r="A138" s="140"/>
      <c r="B138" s="156" t="s">
        <v>175</v>
      </c>
      <c r="C138" s="150" t="s">
        <v>13</v>
      </c>
      <c r="D138" s="139" t="s">
        <v>105</v>
      </c>
      <c r="E138" s="139" t="s">
        <v>163</v>
      </c>
      <c r="F138" s="778" t="s">
        <v>130</v>
      </c>
      <c r="G138" s="779" t="s">
        <v>150</v>
      </c>
      <c r="H138" s="779" t="s">
        <v>96</v>
      </c>
      <c r="I138" s="780" t="s">
        <v>97</v>
      </c>
      <c r="J138" s="139"/>
      <c r="K138" s="151">
        <f t="shared" ref="K138:M140" si="29">K139</f>
        <v>973.1</v>
      </c>
      <c r="L138" s="151">
        <f t="shared" si="29"/>
        <v>0</v>
      </c>
      <c r="M138" s="151">
        <f t="shared" si="29"/>
        <v>973.1</v>
      </c>
    </row>
    <row r="139" spans="1:13" s="136" customFormat="1" ht="56.25" hidden="1">
      <c r="A139" s="140"/>
      <c r="B139" s="156" t="s">
        <v>176</v>
      </c>
      <c r="C139" s="150" t="s">
        <v>13</v>
      </c>
      <c r="D139" s="139" t="s">
        <v>105</v>
      </c>
      <c r="E139" s="139" t="s">
        <v>163</v>
      </c>
      <c r="F139" s="778" t="s">
        <v>130</v>
      </c>
      <c r="G139" s="779" t="s">
        <v>150</v>
      </c>
      <c r="H139" s="779" t="s">
        <v>90</v>
      </c>
      <c r="I139" s="780" t="s">
        <v>97</v>
      </c>
      <c r="J139" s="139"/>
      <c r="K139" s="151">
        <f t="shared" si="29"/>
        <v>973.1</v>
      </c>
      <c r="L139" s="151">
        <f t="shared" si="29"/>
        <v>0</v>
      </c>
      <c r="M139" s="151">
        <f t="shared" si="29"/>
        <v>973.1</v>
      </c>
    </row>
    <row r="140" spans="1:13" s="153" customFormat="1" ht="93.75" hidden="1">
      <c r="A140" s="140"/>
      <c r="B140" s="156" t="s">
        <v>177</v>
      </c>
      <c r="C140" s="150" t="s">
        <v>13</v>
      </c>
      <c r="D140" s="139" t="s">
        <v>105</v>
      </c>
      <c r="E140" s="139" t="s">
        <v>163</v>
      </c>
      <c r="F140" s="778" t="s">
        <v>130</v>
      </c>
      <c r="G140" s="779" t="s">
        <v>150</v>
      </c>
      <c r="H140" s="779" t="s">
        <v>90</v>
      </c>
      <c r="I140" s="780" t="s">
        <v>178</v>
      </c>
      <c r="J140" s="139"/>
      <c r="K140" s="151">
        <f t="shared" si="29"/>
        <v>973.1</v>
      </c>
      <c r="L140" s="151">
        <f t="shared" si="29"/>
        <v>0</v>
      </c>
      <c r="M140" s="151">
        <f t="shared" si="29"/>
        <v>973.1</v>
      </c>
    </row>
    <row r="141" spans="1:13" s="136" customFormat="1" ht="55.15" hidden="1" customHeight="1">
      <c r="A141" s="140"/>
      <c r="B141" s="724" t="s">
        <v>108</v>
      </c>
      <c r="C141" s="150" t="s">
        <v>13</v>
      </c>
      <c r="D141" s="139" t="s">
        <v>105</v>
      </c>
      <c r="E141" s="139" t="s">
        <v>163</v>
      </c>
      <c r="F141" s="778" t="s">
        <v>130</v>
      </c>
      <c r="G141" s="779" t="s">
        <v>150</v>
      </c>
      <c r="H141" s="779" t="s">
        <v>90</v>
      </c>
      <c r="I141" s="780" t="s">
        <v>178</v>
      </c>
      <c r="J141" s="139" t="s">
        <v>109</v>
      </c>
      <c r="K141" s="151">
        <f>773.1+200</f>
        <v>973.1</v>
      </c>
      <c r="L141" s="151">
        <f>M141-K141</f>
        <v>0</v>
      </c>
      <c r="M141" s="151">
        <f>773.1+200</f>
        <v>973.1</v>
      </c>
    </row>
    <row r="142" spans="1:13" s="153" customFormat="1" ht="59.45" hidden="1" customHeight="1">
      <c r="A142" s="140"/>
      <c r="B142" s="724" t="s">
        <v>179</v>
      </c>
      <c r="C142" s="150" t="s">
        <v>13</v>
      </c>
      <c r="D142" s="139" t="s">
        <v>105</v>
      </c>
      <c r="E142" s="139" t="s">
        <v>163</v>
      </c>
      <c r="F142" s="778" t="s">
        <v>149</v>
      </c>
      <c r="G142" s="779" t="s">
        <v>95</v>
      </c>
      <c r="H142" s="779" t="s">
        <v>96</v>
      </c>
      <c r="I142" s="780" t="s">
        <v>97</v>
      </c>
      <c r="J142" s="139"/>
      <c r="K142" s="151">
        <f t="shared" ref="K142:M145" si="30">K143</f>
        <v>886.9</v>
      </c>
      <c r="L142" s="151">
        <f t="shared" si="30"/>
        <v>100</v>
      </c>
      <c r="M142" s="151">
        <f t="shared" si="30"/>
        <v>986.9</v>
      </c>
    </row>
    <row r="143" spans="1:13" s="153" customFormat="1" ht="37.5" hidden="1">
      <c r="A143" s="140"/>
      <c r="B143" s="149" t="s">
        <v>491</v>
      </c>
      <c r="C143" s="150" t="s">
        <v>13</v>
      </c>
      <c r="D143" s="139" t="s">
        <v>105</v>
      </c>
      <c r="E143" s="139" t="s">
        <v>163</v>
      </c>
      <c r="F143" s="778" t="s">
        <v>149</v>
      </c>
      <c r="G143" s="779" t="s">
        <v>98</v>
      </c>
      <c r="H143" s="779" t="s">
        <v>96</v>
      </c>
      <c r="I143" s="780" t="s">
        <v>97</v>
      </c>
      <c r="J143" s="139"/>
      <c r="K143" s="151">
        <f t="shared" si="30"/>
        <v>886.9</v>
      </c>
      <c r="L143" s="151">
        <f t="shared" si="30"/>
        <v>100</v>
      </c>
      <c r="M143" s="151">
        <f t="shared" si="30"/>
        <v>986.9</v>
      </c>
    </row>
    <row r="144" spans="1:13" s="136" customFormat="1" ht="75" hidden="1">
      <c r="A144" s="140"/>
      <c r="B144" s="156" t="s">
        <v>431</v>
      </c>
      <c r="C144" s="150" t="s">
        <v>13</v>
      </c>
      <c r="D144" s="139" t="s">
        <v>105</v>
      </c>
      <c r="E144" s="139" t="s">
        <v>163</v>
      </c>
      <c r="F144" s="778" t="s">
        <v>149</v>
      </c>
      <c r="G144" s="779" t="s">
        <v>98</v>
      </c>
      <c r="H144" s="779" t="s">
        <v>90</v>
      </c>
      <c r="I144" s="780" t="s">
        <v>97</v>
      </c>
      <c r="J144" s="139"/>
      <c r="K144" s="151">
        <f t="shared" ref="K144" si="31">K145+K147</f>
        <v>886.9</v>
      </c>
      <c r="L144" s="151">
        <f t="shared" ref="L144:M144" si="32">L145+L147</f>
        <v>100</v>
      </c>
      <c r="M144" s="151">
        <f t="shared" si="32"/>
        <v>986.9</v>
      </c>
    </row>
    <row r="145" spans="1:13" s="153" customFormat="1" ht="56.25" hidden="1">
      <c r="A145" s="140"/>
      <c r="B145" s="156" t="s">
        <v>180</v>
      </c>
      <c r="C145" s="150" t="s">
        <v>13</v>
      </c>
      <c r="D145" s="139" t="s">
        <v>105</v>
      </c>
      <c r="E145" s="139" t="s">
        <v>163</v>
      </c>
      <c r="F145" s="778" t="s">
        <v>149</v>
      </c>
      <c r="G145" s="779" t="s">
        <v>98</v>
      </c>
      <c r="H145" s="779" t="s">
        <v>90</v>
      </c>
      <c r="I145" s="780" t="s">
        <v>181</v>
      </c>
      <c r="J145" s="139"/>
      <c r="K145" s="151">
        <f t="shared" si="30"/>
        <v>107.89999999999998</v>
      </c>
      <c r="L145" s="151">
        <f t="shared" si="30"/>
        <v>100</v>
      </c>
      <c r="M145" s="151">
        <f t="shared" si="30"/>
        <v>207.89999999999998</v>
      </c>
    </row>
    <row r="146" spans="1:13" s="136" customFormat="1" ht="53.45" hidden="1" customHeight="1">
      <c r="A146" s="140"/>
      <c r="B146" s="784" t="s">
        <v>108</v>
      </c>
      <c r="C146" s="785" t="s">
        <v>13</v>
      </c>
      <c r="D146" s="786" t="s">
        <v>105</v>
      </c>
      <c r="E146" s="786" t="s">
        <v>163</v>
      </c>
      <c r="F146" s="787" t="s">
        <v>149</v>
      </c>
      <c r="G146" s="788" t="s">
        <v>98</v>
      </c>
      <c r="H146" s="788" t="s">
        <v>90</v>
      </c>
      <c r="I146" s="789" t="s">
        <v>181</v>
      </c>
      <c r="J146" s="786" t="s">
        <v>109</v>
      </c>
      <c r="K146" s="706">
        <f>107.9+400-400</f>
        <v>107.89999999999998</v>
      </c>
      <c r="L146" s="706">
        <f>M146-K146</f>
        <v>100</v>
      </c>
      <c r="M146" s="706">
        <f>107.9+400-400+100</f>
        <v>207.89999999999998</v>
      </c>
    </row>
    <row r="147" spans="1:13" s="136" customFormat="1" ht="57.6" hidden="1" customHeight="1">
      <c r="A147" s="140"/>
      <c r="B147" s="724" t="s">
        <v>644</v>
      </c>
      <c r="C147" s="150" t="s">
        <v>13</v>
      </c>
      <c r="D147" s="139" t="s">
        <v>105</v>
      </c>
      <c r="E147" s="139" t="s">
        <v>163</v>
      </c>
      <c r="F147" s="778" t="s">
        <v>149</v>
      </c>
      <c r="G147" s="779" t="s">
        <v>98</v>
      </c>
      <c r="H147" s="779" t="s">
        <v>90</v>
      </c>
      <c r="I147" s="780" t="s">
        <v>643</v>
      </c>
      <c r="J147" s="139"/>
      <c r="K147" s="151">
        <f>K148</f>
        <v>779</v>
      </c>
      <c r="L147" s="151">
        <f>L148</f>
        <v>0</v>
      </c>
      <c r="M147" s="151">
        <f>M148</f>
        <v>779</v>
      </c>
    </row>
    <row r="148" spans="1:13" s="136" customFormat="1" ht="57" hidden="1" customHeight="1">
      <c r="A148" s="140"/>
      <c r="B148" s="724" t="s">
        <v>108</v>
      </c>
      <c r="C148" s="150" t="s">
        <v>13</v>
      </c>
      <c r="D148" s="139" t="s">
        <v>105</v>
      </c>
      <c r="E148" s="139" t="s">
        <v>163</v>
      </c>
      <c r="F148" s="778" t="s">
        <v>149</v>
      </c>
      <c r="G148" s="779" t="s">
        <v>98</v>
      </c>
      <c r="H148" s="779" t="s">
        <v>90</v>
      </c>
      <c r="I148" s="780" t="s">
        <v>643</v>
      </c>
      <c r="J148" s="139" t="s">
        <v>109</v>
      </c>
      <c r="K148" s="151">
        <v>779</v>
      </c>
      <c r="L148" s="151">
        <f>M148-K148</f>
        <v>0</v>
      </c>
      <c r="M148" s="151">
        <v>779</v>
      </c>
    </row>
    <row r="149" spans="1:13" s="136" customFormat="1" ht="56.25" hidden="1">
      <c r="A149" s="140"/>
      <c r="B149" s="149" t="s">
        <v>93</v>
      </c>
      <c r="C149" s="150" t="s">
        <v>13</v>
      </c>
      <c r="D149" s="139" t="s">
        <v>105</v>
      </c>
      <c r="E149" s="139" t="s">
        <v>163</v>
      </c>
      <c r="F149" s="778" t="s">
        <v>94</v>
      </c>
      <c r="G149" s="779" t="s">
        <v>95</v>
      </c>
      <c r="H149" s="779" t="s">
        <v>96</v>
      </c>
      <c r="I149" s="780" t="s">
        <v>97</v>
      </c>
      <c r="J149" s="139"/>
      <c r="K149" s="151">
        <f t="shared" ref="K149:M150" si="33">K150</f>
        <v>6282.7000000000007</v>
      </c>
      <c r="L149" s="151">
        <f t="shared" si="33"/>
        <v>0</v>
      </c>
      <c r="M149" s="151">
        <f t="shared" si="33"/>
        <v>6282.7000000000007</v>
      </c>
    </row>
    <row r="150" spans="1:13" s="136" customFormat="1" ht="37.5" hidden="1">
      <c r="A150" s="140"/>
      <c r="B150" s="149" t="s">
        <v>491</v>
      </c>
      <c r="C150" s="150" t="s">
        <v>13</v>
      </c>
      <c r="D150" s="139" t="s">
        <v>105</v>
      </c>
      <c r="E150" s="139" t="s">
        <v>163</v>
      </c>
      <c r="F150" s="778" t="s">
        <v>94</v>
      </c>
      <c r="G150" s="779" t="s">
        <v>98</v>
      </c>
      <c r="H150" s="779" t="s">
        <v>96</v>
      </c>
      <c r="I150" s="780" t="s">
        <v>97</v>
      </c>
      <c r="J150" s="139"/>
      <c r="K150" s="151">
        <f t="shared" si="33"/>
        <v>6282.7000000000007</v>
      </c>
      <c r="L150" s="151">
        <f t="shared" si="33"/>
        <v>0</v>
      </c>
      <c r="M150" s="151">
        <f t="shared" si="33"/>
        <v>6282.7000000000007</v>
      </c>
    </row>
    <row r="151" spans="1:13" s="136" customFormat="1" ht="56.25" hidden="1">
      <c r="A151" s="140"/>
      <c r="B151" s="149" t="s">
        <v>474</v>
      </c>
      <c r="C151" s="150" t="s">
        <v>13</v>
      </c>
      <c r="D151" s="139" t="s">
        <v>105</v>
      </c>
      <c r="E151" s="139" t="s">
        <v>163</v>
      </c>
      <c r="F151" s="778" t="s">
        <v>94</v>
      </c>
      <c r="G151" s="779" t="s">
        <v>98</v>
      </c>
      <c r="H151" s="779" t="s">
        <v>149</v>
      </c>
      <c r="I151" s="780" t="s">
        <v>97</v>
      </c>
      <c r="J151" s="139"/>
      <c r="K151" s="151">
        <f>K158+K152+K156</f>
        <v>6282.7000000000007</v>
      </c>
      <c r="L151" s="151">
        <f>L158+L152+L156</f>
        <v>0</v>
      </c>
      <c r="M151" s="151">
        <f>M158+M152+M156</f>
        <v>6282.7000000000007</v>
      </c>
    </row>
    <row r="152" spans="1:13" s="136" customFormat="1" ht="78.599999999999994" hidden="1" customHeight="1">
      <c r="A152" s="140"/>
      <c r="B152" s="725" t="s">
        <v>151</v>
      </c>
      <c r="C152" s="150" t="s">
        <v>13</v>
      </c>
      <c r="D152" s="139" t="s">
        <v>105</v>
      </c>
      <c r="E152" s="139" t="s">
        <v>163</v>
      </c>
      <c r="F152" s="778" t="s">
        <v>94</v>
      </c>
      <c r="G152" s="779" t="s">
        <v>98</v>
      </c>
      <c r="H152" s="779" t="s">
        <v>149</v>
      </c>
      <c r="I152" s="780" t="s">
        <v>153</v>
      </c>
      <c r="J152" s="139"/>
      <c r="K152" s="151">
        <f t="shared" ref="K152" si="34">SUM(K153:K155)</f>
        <v>4507.1000000000004</v>
      </c>
      <c r="L152" s="151">
        <f t="shared" ref="L152:M152" si="35">SUM(L153:L155)</f>
        <v>0</v>
      </c>
      <c r="M152" s="151">
        <f t="shared" si="35"/>
        <v>4507.1000000000004</v>
      </c>
    </row>
    <row r="153" spans="1:13" s="136" customFormat="1" ht="94.15" hidden="1" customHeight="1">
      <c r="A153" s="140"/>
      <c r="B153" s="724" t="s">
        <v>102</v>
      </c>
      <c r="C153" s="150" t="s">
        <v>13</v>
      </c>
      <c r="D153" s="139" t="s">
        <v>105</v>
      </c>
      <c r="E153" s="139" t="s">
        <v>163</v>
      </c>
      <c r="F153" s="778" t="s">
        <v>94</v>
      </c>
      <c r="G153" s="779" t="s">
        <v>98</v>
      </c>
      <c r="H153" s="779" t="s">
        <v>149</v>
      </c>
      <c r="I153" s="780" t="s">
        <v>153</v>
      </c>
      <c r="J153" s="139" t="s">
        <v>103</v>
      </c>
      <c r="K153" s="151">
        <v>4158.7</v>
      </c>
      <c r="L153" s="151">
        <f t="shared" ref="L153:L156" si="36">M153-K153</f>
        <v>0</v>
      </c>
      <c r="M153" s="151">
        <v>4158.7</v>
      </c>
    </row>
    <row r="154" spans="1:13" s="136" customFormat="1" ht="53.45" hidden="1" customHeight="1">
      <c r="A154" s="140"/>
      <c r="B154" s="724" t="s">
        <v>108</v>
      </c>
      <c r="C154" s="150" t="s">
        <v>13</v>
      </c>
      <c r="D154" s="139" t="s">
        <v>105</v>
      </c>
      <c r="E154" s="139" t="s">
        <v>163</v>
      </c>
      <c r="F154" s="778" t="s">
        <v>94</v>
      </c>
      <c r="G154" s="779" t="s">
        <v>98</v>
      </c>
      <c r="H154" s="779" t="s">
        <v>149</v>
      </c>
      <c r="I154" s="780" t="s">
        <v>153</v>
      </c>
      <c r="J154" s="139" t="s">
        <v>109</v>
      </c>
      <c r="K154" s="151">
        <v>299.8</v>
      </c>
      <c r="L154" s="151">
        <f t="shared" si="36"/>
        <v>0</v>
      </c>
      <c r="M154" s="151">
        <v>299.8</v>
      </c>
    </row>
    <row r="155" spans="1:13" s="136" customFormat="1" ht="18.75" hidden="1">
      <c r="A155" s="140"/>
      <c r="B155" s="149" t="s">
        <v>110</v>
      </c>
      <c r="C155" s="150" t="s">
        <v>13</v>
      </c>
      <c r="D155" s="139" t="s">
        <v>105</v>
      </c>
      <c r="E155" s="139" t="s">
        <v>163</v>
      </c>
      <c r="F155" s="778" t="s">
        <v>94</v>
      </c>
      <c r="G155" s="779" t="s">
        <v>98</v>
      </c>
      <c r="H155" s="779" t="s">
        <v>149</v>
      </c>
      <c r="I155" s="780" t="s">
        <v>153</v>
      </c>
      <c r="J155" s="139" t="s">
        <v>111</v>
      </c>
      <c r="K155" s="151">
        <v>48.6</v>
      </c>
      <c r="L155" s="151">
        <f t="shared" si="36"/>
        <v>0</v>
      </c>
      <c r="M155" s="151">
        <v>48.6</v>
      </c>
    </row>
    <row r="156" spans="1:13" s="136" customFormat="1" ht="56.25" hidden="1">
      <c r="A156" s="140"/>
      <c r="B156" s="149" t="s">
        <v>862</v>
      </c>
      <c r="C156" s="150" t="s">
        <v>13</v>
      </c>
      <c r="D156" s="139" t="s">
        <v>105</v>
      </c>
      <c r="E156" s="139" t="s">
        <v>163</v>
      </c>
      <c r="F156" s="778" t="s">
        <v>94</v>
      </c>
      <c r="G156" s="779" t="s">
        <v>98</v>
      </c>
      <c r="H156" s="779" t="s">
        <v>149</v>
      </c>
      <c r="I156" s="780" t="s">
        <v>861</v>
      </c>
      <c r="J156" s="139"/>
      <c r="K156" s="151">
        <f>K157</f>
        <v>1300</v>
      </c>
      <c r="L156" s="151">
        <f t="shared" si="36"/>
        <v>0</v>
      </c>
      <c r="M156" s="151">
        <f>M157</f>
        <v>1300</v>
      </c>
    </row>
    <row r="157" spans="1:13" s="136" customFormat="1" ht="54.6" hidden="1" customHeight="1">
      <c r="A157" s="140"/>
      <c r="B157" s="724" t="s">
        <v>108</v>
      </c>
      <c r="C157" s="150" t="s">
        <v>13</v>
      </c>
      <c r="D157" s="139" t="s">
        <v>105</v>
      </c>
      <c r="E157" s="139" t="s">
        <v>163</v>
      </c>
      <c r="F157" s="778" t="s">
        <v>94</v>
      </c>
      <c r="G157" s="779" t="s">
        <v>98</v>
      </c>
      <c r="H157" s="779" t="s">
        <v>149</v>
      </c>
      <c r="I157" s="780" t="s">
        <v>861</v>
      </c>
      <c r="J157" s="139" t="s">
        <v>109</v>
      </c>
      <c r="K157" s="151">
        <v>1300</v>
      </c>
      <c r="L157" s="151">
        <f>M157-K157</f>
        <v>0</v>
      </c>
      <c r="M157" s="151">
        <v>1300</v>
      </c>
    </row>
    <row r="158" spans="1:13" s="136" customFormat="1" ht="75" hidden="1">
      <c r="A158" s="140"/>
      <c r="B158" s="149" t="s">
        <v>617</v>
      </c>
      <c r="C158" s="150" t="s">
        <v>13</v>
      </c>
      <c r="D158" s="139" t="s">
        <v>105</v>
      </c>
      <c r="E158" s="139" t="s">
        <v>163</v>
      </c>
      <c r="F158" s="778" t="s">
        <v>94</v>
      </c>
      <c r="G158" s="779" t="s">
        <v>98</v>
      </c>
      <c r="H158" s="779" t="s">
        <v>149</v>
      </c>
      <c r="I158" s="780" t="s">
        <v>475</v>
      </c>
      <c r="J158" s="139"/>
      <c r="K158" s="151">
        <f>K159</f>
        <v>475.59999999999997</v>
      </c>
      <c r="L158" s="151">
        <f>L159</f>
        <v>0</v>
      </c>
      <c r="M158" s="151">
        <f>M159</f>
        <v>475.59999999999997</v>
      </c>
    </row>
    <row r="159" spans="1:13" s="136" customFormat="1" ht="18.75" hidden="1">
      <c r="A159" s="140"/>
      <c r="B159" s="149" t="s">
        <v>186</v>
      </c>
      <c r="C159" s="150" t="s">
        <v>13</v>
      </c>
      <c r="D159" s="139" t="s">
        <v>105</v>
      </c>
      <c r="E159" s="139" t="s">
        <v>163</v>
      </c>
      <c r="F159" s="778" t="s">
        <v>94</v>
      </c>
      <c r="G159" s="779" t="s">
        <v>98</v>
      </c>
      <c r="H159" s="779" t="s">
        <v>149</v>
      </c>
      <c r="I159" s="780" t="s">
        <v>475</v>
      </c>
      <c r="J159" s="139" t="s">
        <v>187</v>
      </c>
      <c r="K159" s="151">
        <f>419.2+56.4</f>
        <v>475.59999999999997</v>
      </c>
      <c r="L159" s="151">
        <f>M159-K159</f>
        <v>0</v>
      </c>
      <c r="M159" s="151">
        <f>419.2+56.4</f>
        <v>475.59999999999997</v>
      </c>
    </row>
    <row r="160" spans="1:13" s="136" customFormat="1" ht="18.75" hidden="1">
      <c r="A160" s="140"/>
      <c r="B160" s="149" t="s">
        <v>252</v>
      </c>
      <c r="C160" s="150" t="s">
        <v>13</v>
      </c>
      <c r="D160" s="139" t="s">
        <v>121</v>
      </c>
      <c r="E160" s="139"/>
      <c r="F160" s="778"/>
      <c r="G160" s="779"/>
      <c r="H160" s="779"/>
      <c r="I160" s="780"/>
      <c r="J160" s="139"/>
      <c r="K160" s="151">
        <f>K167+K161</f>
        <v>402.09999999999997</v>
      </c>
      <c r="L160" s="151">
        <f>L167+L161</f>
        <v>0</v>
      </c>
      <c r="M160" s="151">
        <f>M167+M161</f>
        <v>402.09999999999997</v>
      </c>
    </row>
    <row r="161" spans="1:13" s="169" customFormat="1" ht="18.75" hidden="1">
      <c r="A161" s="163"/>
      <c r="B161" s="159" t="s">
        <v>483</v>
      </c>
      <c r="C161" s="150" t="s">
        <v>13</v>
      </c>
      <c r="D161" s="165" t="s">
        <v>121</v>
      </c>
      <c r="E161" s="165" t="s">
        <v>92</v>
      </c>
      <c r="F161" s="174"/>
      <c r="G161" s="167"/>
      <c r="H161" s="167"/>
      <c r="I161" s="183"/>
      <c r="J161" s="166"/>
      <c r="K161" s="626">
        <f t="shared" ref="K161:M165" si="37">K162</f>
        <v>366.4</v>
      </c>
      <c r="L161" s="626">
        <f t="shared" si="37"/>
        <v>0</v>
      </c>
      <c r="M161" s="626">
        <f t="shared" si="37"/>
        <v>366.4</v>
      </c>
    </row>
    <row r="162" spans="1:13" s="169" customFormat="1" ht="75" hidden="1">
      <c r="A162" s="163"/>
      <c r="B162" s="627" t="s">
        <v>482</v>
      </c>
      <c r="C162" s="150" t="s">
        <v>13</v>
      </c>
      <c r="D162" s="165" t="s">
        <v>121</v>
      </c>
      <c r="E162" s="165" t="s">
        <v>92</v>
      </c>
      <c r="F162" s="174" t="s">
        <v>167</v>
      </c>
      <c r="G162" s="167" t="s">
        <v>95</v>
      </c>
      <c r="H162" s="167" t="s">
        <v>96</v>
      </c>
      <c r="I162" s="183" t="s">
        <v>97</v>
      </c>
      <c r="J162" s="166"/>
      <c r="K162" s="626">
        <f t="shared" si="37"/>
        <v>366.4</v>
      </c>
      <c r="L162" s="626">
        <f t="shared" si="37"/>
        <v>0</v>
      </c>
      <c r="M162" s="626">
        <f t="shared" si="37"/>
        <v>366.4</v>
      </c>
    </row>
    <row r="163" spans="1:13" s="169" customFormat="1" ht="56.25" hidden="1">
      <c r="A163" s="163"/>
      <c r="B163" s="149" t="s">
        <v>484</v>
      </c>
      <c r="C163" s="150" t="s">
        <v>13</v>
      </c>
      <c r="D163" s="165" t="s">
        <v>121</v>
      </c>
      <c r="E163" s="165" t="s">
        <v>92</v>
      </c>
      <c r="F163" s="174" t="s">
        <v>167</v>
      </c>
      <c r="G163" s="167" t="s">
        <v>98</v>
      </c>
      <c r="H163" s="167" t="s">
        <v>96</v>
      </c>
      <c r="I163" s="183" t="s">
        <v>97</v>
      </c>
      <c r="J163" s="166"/>
      <c r="K163" s="626">
        <f t="shared" si="37"/>
        <v>366.4</v>
      </c>
      <c r="L163" s="626">
        <f t="shared" si="37"/>
        <v>0</v>
      </c>
      <c r="M163" s="626">
        <f t="shared" si="37"/>
        <v>366.4</v>
      </c>
    </row>
    <row r="164" spans="1:13" s="169" customFormat="1" ht="56.25" hidden="1">
      <c r="A164" s="163"/>
      <c r="B164" s="149" t="s">
        <v>572</v>
      </c>
      <c r="C164" s="150" t="s">
        <v>13</v>
      </c>
      <c r="D164" s="165" t="s">
        <v>121</v>
      </c>
      <c r="E164" s="165" t="s">
        <v>92</v>
      </c>
      <c r="F164" s="174" t="s">
        <v>167</v>
      </c>
      <c r="G164" s="167" t="s">
        <v>98</v>
      </c>
      <c r="H164" s="167" t="s">
        <v>90</v>
      </c>
      <c r="I164" s="183" t="s">
        <v>97</v>
      </c>
      <c r="J164" s="166"/>
      <c r="K164" s="626">
        <f>K165</f>
        <v>366.4</v>
      </c>
      <c r="L164" s="626">
        <f>L165</f>
        <v>0</v>
      </c>
      <c r="M164" s="626">
        <f>M165</f>
        <v>366.4</v>
      </c>
    </row>
    <row r="165" spans="1:13" s="169" customFormat="1" ht="61.15" hidden="1" customHeight="1">
      <c r="A165" s="163"/>
      <c r="B165" s="724" t="s">
        <v>485</v>
      </c>
      <c r="C165" s="150" t="s">
        <v>13</v>
      </c>
      <c r="D165" s="165" t="s">
        <v>121</v>
      </c>
      <c r="E165" s="165" t="s">
        <v>92</v>
      </c>
      <c r="F165" s="174" t="s">
        <v>167</v>
      </c>
      <c r="G165" s="167" t="s">
        <v>98</v>
      </c>
      <c r="H165" s="167" t="s">
        <v>90</v>
      </c>
      <c r="I165" s="183" t="s">
        <v>486</v>
      </c>
      <c r="J165" s="166"/>
      <c r="K165" s="626">
        <f t="shared" si="37"/>
        <v>366.4</v>
      </c>
      <c r="L165" s="626">
        <f t="shared" si="37"/>
        <v>0</v>
      </c>
      <c r="M165" s="626">
        <f t="shared" si="37"/>
        <v>366.4</v>
      </c>
    </row>
    <row r="166" spans="1:13" s="169" customFormat="1" ht="56.25" hidden="1">
      <c r="A166" s="163"/>
      <c r="B166" s="149" t="s">
        <v>282</v>
      </c>
      <c r="C166" s="150" t="s">
        <v>13</v>
      </c>
      <c r="D166" s="165" t="s">
        <v>121</v>
      </c>
      <c r="E166" s="165" t="s">
        <v>92</v>
      </c>
      <c r="F166" s="174" t="s">
        <v>167</v>
      </c>
      <c r="G166" s="167" t="s">
        <v>98</v>
      </c>
      <c r="H166" s="167" t="s">
        <v>90</v>
      </c>
      <c r="I166" s="183" t="s">
        <v>486</v>
      </c>
      <c r="J166" s="166" t="s">
        <v>283</v>
      </c>
      <c r="K166" s="626">
        <f>336+30.4</f>
        <v>366.4</v>
      </c>
      <c r="L166" s="151">
        <f>M166-K166</f>
        <v>0</v>
      </c>
      <c r="M166" s="626">
        <f>336+30.4</f>
        <v>366.4</v>
      </c>
    </row>
    <row r="167" spans="1:13" s="136" customFormat="1" ht="37.5" hidden="1">
      <c r="A167" s="140"/>
      <c r="B167" s="149" t="s">
        <v>476</v>
      </c>
      <c r="C167" s="150" t="s">
        <v>13</v>
      </c>
      <c r="D167" s="139" t="s">
        <v>121</v>
      </c>
      <c r="E167" s="139" t="s">
        <v>121</v>
      </c>
      <c r="F167" s="778"/>
      <c r="G167" s="779"/>
      <c r="H167" s="779"/>
      <c r="I167" s="780"/>
      <c r="J167" s="139"/>
      <c r="K167" s="151">
        <f t="shared" ref="K167:M171" si="38">K168</f>
        <v>35.700000000000003</v>
      </c>
      <c r="L167" s="151">
        <f t="shared" si="38"/>
        <v>0</v>
      </c>
      <c r="M167" s="151">
        <f t="shared" si="38"/>
        <v>35.700000000000003</v>
      </c>
    </row>
    <row r="168" spans="1:13" s="136" customFormat="1" ht="75" hidden="1">
      <c r="A168" s="140"/>
      <c r="B168" s="149" t="s">
        <v>481</v>
      </c>
      <c r="C168" s="150" t="s">
        <v>13</v>
      </c>
      <c r="D168" s="139" t="s">
        <v>121</v>
      </c>
      <c r="E168" s="139" t="s">
        <v>121</v>
      </c>
      <c r="F168" s="778" t="s">
        <v>167</v>
      </c>
      <c r="G168" s="779" t="s">
        <v>95</v>
      </c>
      <c r="H168" s="779" t="s">
        <v>96</v>
      </c>
      <c r="I168" s="780" t="s">
        <v>97</v>
      </c>
      <c r="J168" s="139"/>
      <c r="K168" s="151">
        <f t="shared" si="38"/>
        <v>35.700000000000003</v>
      </c>
      <c r="L168" s="151">
        <f t="shared" si="38"/>
        <v>0</v>
      </c>
      <c r="M168" s="151">
        <f t="shared" si="38"/>
        <v>35.700000000000003</v>
      </c>
    </row>
    <row r="169" spans="1:13" s="136" customFormat="1" ht="37.5" hidden="1">
      <c r="A169" s="140"/>
      <c r="B169" s="149" t="s">
        <v>491</v>
      </c>
      <c r="C169" s="150" t="s">
        <v>13</v>
      </c>
      <c r="D169" s="139" t="s">
        <v>121</v>
      </c>
      <c r="E169" s="139" t="s">
        <v>121</v>
      </c>
      <c r="F169" s="778" t="s">
        <v>167</v>
      </c>
      <c r="G169" s="779" t="s">
        <v>83</v>
      </c>
      <c r="H169" s="779" t="s">
        <v>96</v>
      </c>
      <c r="I169" s="780" t="s">
        <v>97</v>
      </c>
      <c r="J169" s="139"/>
      <c r="K169" s="151">
        <f t="shared" si="38"/>
        <v>35.700000000000003</v>
      </c>
      <c r="L169" s="151">
        <f t="shared" si="38"/>
        <v>0</v>
      </c>
      <c r="M169" s="151">
        <f t="shared" si="38"/>
        <v>35.700000000000003</v>
      </c>
    </row>
    <row r="170" spans="1:13" s="136" customFormat="1" ht="56.25" hidden="1">
      <c r="A170" s="140"/>
      <c r="B170" s="149" t="s">
        <v>477</v>
      </c>
      <c r="C170" s="150" t="s">
        <v>13</v>
      </c>
      <c r="D170" s="139" t="s">
        <v>121</v>
      </c>
      <c r="E170" s="139" t="s">
        <v>121</v>
      </c>
      <c r="F170" s="778" t="s">
        <v>167</v>
      </c>
      <c r="G170" s="779" t="s">
        <v>83</v>
      </c>
      <c r="H170" s="779" t="s">
        <v>139</v>
      </c>
      <c r="I170" s="780" t="s">
        <v>97</v>
      </c>
      <c r="J170" s="139"/>
      <c r="K170" s="151">
        <f t="shared" si="38"/>
        <v>35.700000000000003</v>
      </c>
      <c r="L170" s="151">
        <f t="shared" si="38"/>
        <v>0</v>
      </c>
      <c r="M170" s="151">
        <f t="shared" si="38"/>
        <v>35.700000000000003</v>
      </c>
    </row>
    <row r="171" spans="1:13" s="136" customFormat="1" ht="18.75" hidden="1">
      <c r="A171" s="140"/>
      <c r="B171" s="149" t="s">
        <v>494</v>
      </c>
      <c r="C171" s="150" t="s">
        <v>13</v>
      </c>
      <c r="D171" s="139" t="s">
        <v>121</v>
      </c>
      <c r="E171" s="139" t="s">
        <v>121</v>
      </c>
      <c r="F171" s="778" t="s">
        <v>167</v>
      </c>
      <c r="G171" s="779" t="s">
        <v>83</v>
      </c>
      <c r="H171" s="779" t="s">
        <v>139</v>
      </c>
      <c r="I171" s="780" t="s">
        <v>478</v>
      </c>
      <c r="J171" s="139"/>
      <c r="K171" s="151">
        <f t="shared" si="38"/>
        <v>35.700000000000003</v>
      </c>
      <c r="L171" s="151">
        <f t="shared" si="38"/>
        <v>0</v>
      </c>
      <c r="M171" s="151">
        <f t="shared" si="38"/>
        <v>35.700000000000003</v>
      </c>
    </row>
    <row r="172" spans="1:13" s="136" customFormat="1" ht="18.75" hidden="1">
      <c r="A172" s="140"/>
      <c r="B172" s="149" t="s">
        <v>186</v>
      </c>
      <c r="C172" s="150" t="s">
        <v>13</v>
      </c>
      <c r="D172" s="139" t="s">
        <v>121</v>
      </c>
      <c r="E172" s="139" t="s">
        <v>121</v>
      </c>
      <c r="F172" s="778" t="s">
        <v>167</v>
      </c>
      <c r="G172" s="779" t="s">
        <v>83</v>
      </c>
      <c r="H172" s="779" t="s">
        <v>139</v>
      </c>
      <c r="I172" s="780" t="s">
        <v>478</v>
      </c>
      <c r="J172" s="139" t="s">
        <v>187</v>
      </c>
      <c r="K172" s="151">
        <f>43.1-7.4</f>
        <v>35.700000000000003</v>
      </c>
      <c r="L172" s="151">
        <f>M172-K172</f>
        <v>0</v>
      </c>
      <c r="M172" s="151">
        <f>43.1-7.4</f>
        <v>35.700000000000003</v>
      </c>
    </row>
    <row r="173" spans="1:13" s="153" customFormat="1" ht="18.75" hidden="1">
      <c r="A173" s="140"/>
      <c r="B173" s="149" t="s">
        <v>182</v>
      </c>
      <c r="C173" s="150" t="s">
        <v>13</v>
      </c>
      <c r="D173" s="139" t="s">
        <v>167</v>
      </c>
      <c r="E173" s="139"/>
      <c r="F173" s="778"/>
      <c r="G173" s="779"/>
      <c r="H173" s="779"/>
      <c r="I173" s="780"/>
      <c r="J173" s="139"/>
      <c r="K173" s="151">
        <f t="shared" ref="K173" si="39">K180+K174</f>
        <v>2562.6</v>
      </c>
      <c r="L173" s="151">
        <f t="shared" ref="L173:M173" si="40">L180+L174</f>
        <v>384</v>
      </c>
      <c r="M173" s="151">
        <f t="shared" si="40"/>
        <v>2946.6</v>
      </c>
    </row>
    <row r="174" spans="1:13" s="153" customFormat="1" ht="18.75" hidden="1">
      <c r="A174" s="140"/>
      <c r="B174" s="149" t="s">
        <v>525</v>
      </c>
      <c r="C174" s="150" t="s">
        <v>13</v>
      </c>
      <c r="D174" s="139" t="s">
        <v>167</v>
      </c>
      <c r="E174" s="139" t="s">
        <v>90</v>
      </c>
      <c r="F174" s="778"/>
      <c r="G174" s="779"/>
      <c r="H174" s="779"/>
      <c r="I174" s="780"/>
      <c r="J174" s="139"/>
      <c r="K174" s="151">
        <f t="shared" ref="K174:M178" si="41">K175</f>
        <v>276</v>
      </c>
      <c r="L174" s="151">
        <f t="shared" si="41"/>
        <v>0</v>
      </c>
      <c r="M174" s="151">
        <f t="shared" si="41"/>
        <v>276</v>
      </c>
    </row>
    <row r="175" spans="1:13" s="153" customFormat="1" ht="56.25" hidden="1">
      <c r="A175" s="140"/>
      <c r="B175" s="159" t="s">
        <v>407</v>
      </c>
      <c r="C175" s="150" t="s">
        <v>13</v>
      </c>
      <c r="D175" s="139" t="s">
        <v>167</v>
      </c>
      <c r="E175" s="139" t="s">
        <v>90</v>
      </c>
      <c r="F175" s="778" t="s">
        <v>139</v>
      </c>
      <c r="G175" s="779" t="s">
        <v>95</v>
      </c>
      <c r="H175" s="779" t="s">
        <v>96</v>
      </c>
      <c r="I175" s="780" t="s">
        <v>97</v>
      </c>
      <c r="J175" s="139"/>
      <c r="K175" s="151">
        <f t="shared" si="41"/>
        <v>276</v>
      </c>
      <c r="L175" s="151">
        <f t="shared" si="41"/>
        <v>0</v>
      </c>
      <c r="M175" s="151">
        <f t="shared" si="41"/>
        <v>276</v>
      </c>
    </row>
    <row r="176" spans="1:13" s="153" customFormat="1" ht="37.5" hidden="1">
      <c r="A176" s="140"/>
      <c r="B176" s="149" t="s">
        <v>491</v>
      </c>
      <c r="C176" s="150" t="s">
        <v>13</v>
      </c>
      <c r="D176" s="139" t="s">
        <v>167</v>
      </c>
      <c r="E176" s="139" t="s">
        <v>90</v>
      </c>
      <c r="F176" s="778" t="s">
        <v>139</v>
      </c>
      <c r="G176" s="779" t="s">
        <v>98</v>
      </c>
      <c r="H176" s="779" t="s">
        <v>96</v>
      </c>
      <c r="I176" s="780" t="s">
        <v>97</v>
      </c>
      <c r="J176" s="139"/>
      <c r="K176" s="151">
        <f t="shared" si="41"/>
        <v>276</v>
      </c>
      <c r="L176" s="151">
        <f t="shared" si="41"/>
        <v>0</v>
      </c>
      <c r="M176" s="151">
        <f t="shared" si="41"/>
        <v>276</v>
      </c>
    </row>
    <row r="177" spans="1:13" s="153" customFormat="1" ht="93.75" hidden="1">
      <c r="A177" s="140"/>
      <c r="B177" s="154" t="s">
        <v>542</v>
      </c>
      <c r="C177" s="150" t="s">
        <v>13</v>
      </c>
      <c r="D177" s="139" t="s">
        <v>167</v>
      </c>
      <c r="E177" s="139" t="s">
        <v>90</v>
      </c>
      <c r="F177" s="778" t="s">
        <v>139</v>
      </c>
      <c r="G177" s="779" t="s">
        <v>98</v>
      </c>
      <c r="H177" s="779" t="s">
        <v>105</v>
      </c>
      <c r="I177" s="780" t="s">
        <v>97</v>
      </c>
      <c r="J177" s="139"/>
      <c r="K177" s="151">
        <f t="shared" si="41"/>
        <v>276</v>
      </c>
      <c r="L177" s="151">
        <f t="shared" si="41"/>
        <v>0</v>
      </c>
      <c r="M177" s="151">
        <f t="shared" si="41"/>
        <v>276</v>
      </c>
    </row>
    <row r="178" spans="1:13" s="153" customFormat="1" ht="75" hidden="1">
      <c r="A178" s="140"/>
      <c r="B178" s="154" t="s">
        <v>527</v>
      </c>
      <c r="C178" s="150" t="s">
        <v>13</v>
      </c>
      <c r="D178" s="139" t="s">
        <v>167</v>
      </c>
      <c r="E178" s="139" t="s">
        <v>90</v>
      </c>
      <c r="F178" s="778" t="s">
        <v>139</v>
      </c>
      <c r="G178" s="779" t="s">
        <v>98</v>
      </c>
      <c r="H178" s="779" t="s">
        <v>105</v>
      </c>
      <c r="I178" s="780" t="s">
        <v>526</v>
      </c>
      <c r="J178" s="139"/>
      <c r="K178" s="151">
        <f t="shared" si="41"/>
        <v>276</v>
      </c>
      <c r="L178" s="151">
        <f t="shared" si="41"/>
        <v>0</v>
      </c>
      <c r="M178" s="151">
        <f t="shared" si="41"/>
        <v>276</v>
      </c>
    </row>
    <row r="179" spans="1:13" s="153" customFormat="1" ht="37.5" hidden="1">
      <c r="A179" s="140"/>
      <c r="B179" s="155" t="s">
        <v>183</v>
      </c>
      <c r="C179" s="150" t="s">
        <v>13</v>
      </c>
      <c r="D179" s="139" t="s">
        <v>167</v>
      </c>
      <c r="E179" s="139" t="s">
        <v>90</v>
      </c>
      <c r="F179" s="778" t="s">
        <v>139</v>
      </c>
      <c r="G179" s="779" t="s">
        <v>98</v>
      </c>
      <c r="H179" s="779" t="s">
        <v>105</v>
      </c>
      <c r="I179" s="780" t="s">
        <v>526</v>
      </c>
      <c r="J179" s="139" t="s">
        <v>184</v>
      </c>
      <c r="K179" s="151">
        <v>276</v>
      </c>
      <c r="L179" s="151">
        <f>M179-K179</f>
        <v>0</v>
      </c>
      <c r="M179" s="151">
        <v>276</v>
      </c>
    </row>
    <row r="180" spans="1:13" s="153" customFormat="1" ht="37.5" hidden="1">
      <c r="A180" s="140"/>
      <c r="B180" s="149" t="s">
        <v>185</v>
      </c>
      <c r="C180" s="150" t="s">
        <v>13</v>
      </c>
      <c r="D180" s="139" t="s">
        <v>167</v>
      </c>
      <c r="E180" s="139" t="s">
        <v>141</v>
      </c>
      <c r="F180" s="778"/>
      <c r="G180" s="779"/>
      <c r="H180" s="779"/>
      <c r="I180" s="780"/>
      <c r="J180" s="139"/>
      <c r="K180" s="151">
        <f>K186+K181</f>
        <v>2286.6</v>
      </c>
      <c r="L180" s="151">
        <f>L186+L181</f>
        <v>384</v>
      </c>
      <c r="M180" s="151">
        <f>M186+M181</f>
        <v>2670.6</v>
      </c>
    </row>
    <row r="181" spans="1:13" s="153" customFormat="1" ht="56.25" hidden="1">
      <c r="A181" s="140"/>
      <c r="B181" s="149" t="s">
        <v>407</v>
      </c>
      <c r="C181" s="150" t="s">
        <v>13</v>
      </c>
      <c r="D181" s="139" t="s">
        <v>167</v>
      </c>
      <c r="E181" s="139" t="s">
        <v>141</v>
      </c>
      <c r="F181" s="778" t="s">
        <v>139</v>
      </c>
      <c r="G181" s="779" t="s">
        <v>95</v>
      </c>
      <c r="H181" s="779" t="s">
        <v>96</v>
      </c>
      <c r="I181" s="780" t="s">
        <v>97</v>
      </c>
      <c r="J181" s="139"/>
      <c r="K181" s="151">
        <f t="shared" ref="K181:M184" si="42">K182</f>
        <v>1500</v>
      </c>
      <c r="L181" s="151">
        <f t="shared" si="42"/>
        <v>384</v>
      </c>
      <c r="M181" s="151">
        <f t="shared" si="42"/>
        <v>1884</v>
      </c>
    </row>
    <row r="182" spans="1:13" s="153" customFormat="1" ht="37.5" hidden="1">
      <c r="A182" s="140"/>
      <c r="B182" s="149" t="s">
        <v>491</v>
      </c>
      <c r="C182" s="150" t="s">
        <v>13</v>
      </c>
      <c r="D182" s="139" t="s">
        <v>167</v>
      </c>
      <c r="E182" s="139" t="s">
        <v>141</v>
      </c>
      <c r="F182" s="778" t="s">
        <v>139</v>
      </c>
      <c r="G182" s="779" t="s">
        <v>98</v>
      </c>
      <c r="H182" s="779" t="s">
        <v>96</v>
      </c>
      <c r="I182" s="780" t="s">
        <v>97</v>
      </c>
      <c r="J182" s="139"/>
      <c r="K182" s="151">
        <f t="shared" si="42"/>
        <v>1500</v>
      </c>
      <c r="L182" s="151">
        <f t="shared" si="42"/>
        <v>384</v>
      </c>
      <c r="M182" s="151">
        <f t="shared" si="42"/>
        <v>1884</v>
      </c>
    </row>
    <row r="183" spans="1:13" s="153" customFormat="1" ht="37.5" hidden="1">
      <c r="A183" s="140"/>
      <c r="B183" s="154" t="s">
        <v>812</v>
      </c>
      <c r="C183" s="150" t="s">
        <v>13</v>
      </c>
      <c r="D183" s="139" t="s">
        <v>167</v>
      </c>
      <c r="E183" s="139" t="s">
        <v>141</v>
      </c>
      <c r="F183" s="778" t="s">
        <v>139</v>
      </c>
      <c r="G183" s="779" t="s">
        <v>98</v>
      </c>
      <c r="H183" s="779" t="s">
        <v>121</v>
      </c>
      <c r="I183" s="780" t="s">
        <v>97</v>
      </c>
      <c r="J183" s="139"/>
      <c r="K183" s="151">
        <f t="shared" si="42"/>
        <v>1500</v>
      </c>
      <c r="L183" s="151">
        <f t="shared" si="42"/>
        <v>384</v>
      </c>
      <c r="M183" s="151">
        <f t="shared" si="42"/>
        <v>1884</v>
      </c>
    </row>
    <row r="184" spans="1:13" s="153" customFormat="1" ht="56.45" hidden="1" customHeight="1">
      <c r="A184" s="140"/>
      <c r="B184" s="725" t="s">
        <v>814</v>
      </c>
      <c r="C184" s="150" t="s">
        <v>13</v>
      </c>
      <c r="D184" s="139" t="s">
        <v>167</v>
      </c>
      <c r="E184" s="139" t="s">
        <v>141</v>
      </c>
      <c r="F184" s="778" t="s">
        <v>139</v>
      </c>
      <c r="G184" s="779" t="s">
        <v>98</v>
      </c>
      <c r="H184" s="779" t="s">
        <v>121</v>
      </c>
      <c r="I184" s="780" t="s">
        <v>815</v>
      </c>
      <c r="J184" s="139"/>
      <c r="K184" s="151">
        <f t="shared" si="42"/>
        <v>1500</v>
      </c>
      <c r="L184" s="151">
        <f t="shared" si="42"/>
        <v>384</v>
      </c>
      <c r="M184" s="151">
        <f t="shared" si="42"/>
        <v>1884</v>
      </c>
    </row>
    <row r="185" spans="1:13" s="153" customFormat="1" ht="37.5" hidden="1">
      <c r="A185" s="140"/>
      <c r="B185" s="790" t="s">
        <v>183</v>
      </c>
      <c r="C185" s="785" t="s">
        <v>13</v>
      </c>
      <c r="D185" s="786" t="s">
        <v>167</v>
      </c>
      <c r="E185" s="786" t="s">
        <v>141</v>
      </c>
      <c r="F185" s="787" t="s">
        <v>139</v>
      </c>
      <c r="G185" s="788" t="s">
        <v>98</v>
      </c>
      <c r="H185" s="788" t="s">
        <v>121</v>
      </c>
      <c r="I185" s="789" t="s">
        <v>815</v>
      </c>
      <c r="J185" s="786" t="s">
        <v>184</v>
      </c>
      <c r="K185" s="706">
        <f>1500</f>
        <v>1500</v>
      </c>
      <c r="L185" s="706">
        <f>M185-K185</f>
        <v>384</v>
      </c>
      <c r="M185" s="706">
        <f>1500+384</f>
        <v>1884</v>
      </c>
    </row>
    <row r="186" spans="1:13" s="153" customFormat="1" ht="75" hidden="1">
      <c r="A186" s="140"/>
      <c r="B186" s="149" t="s">
        <v>131</v>
      </c>
      <c r="C186" s="150" t="s">
        <v>13</v>
      </c>
      <c r="D186" s="139" t="s">
        <v>167</v>
      </c>
      <c r="E186" s="139" t="s">
        <v>141</v>
      </c>
      <c r="F186" s="778" t="s">
        <v>132</v>
      </c>
      <c r="G186" s="779" t="s">
        <v>95</v>
      </c>
      <c r="H186" s="779" t="s">
        <v>96</v>
      </c>
      <c r="I186" s="780" t="s">
        <v>97</v>
      </c>
      <c r="J186" s="139"/>
      <c r="K186" s="151">
        <f t="shared" ref="K186:M189" si="43">K187</f>
        <v>786.6</v>
      </c>
      <c r="L186" s="151">
        <f t="shared" si="43"/>
        <v>0</v>
      </c>
      <c r="M186" s="151">
        <f t="shared" si="43"/>
        <v>786.6</v>
      </c>
    </row>
    <row r="187" spans="1:13" s="153" customFormat="1" ht="37.5" hidden="1">
      <c r="A187" s="140"/>
      <c r="B187" s="149" t="s">
        <v>491</v>
      </c>
      <c r="C187" s="150" t="s">
        <v>13</v>
      </c>
      <c r="D187" s="139" t="s">
        <v>167</v>
      </c>
      <c r="E187" s="139" t="s">
        <v>141</v>
      </c>
      <c r="F187" s="778" t="s">
        <v>132</v>
      </c>
      <c r="G187" s="779" t="s">
        <v>98</v>
      </c>
      <c r="H187" s="779" t="s">
        <v>96</v>
      </c>
      <c r="I187" s="780" t="s">
        <v>97</v>
      </c>
      <c r="J187" s="139"/>
      <c r="K187" s="151">
        <f t="shared" si="43"/>
        <v>786.6</v>
      </c>
      <c r="L187" s="151">
        <f t="shared" si="43"/>
        <v>0</v>
      </c>
      <c r="M187" s="151">
        <f t="shared" si="43"/>
        <v>786.6</v>
      </c>
    </row>
    <row r="188" spans="1:13" s="153" customFormat="1" ht="56.25" hidden="1">
      <c r="A188" s="140"/>
      <c r="B188" s="154" t="s">
        <v>371</v>
      </c>
      <c r="C188" s="150" t="s">
        <v>13</v>
      </c>
      <c r="D188" s="139" t="s">
        <v>167</v>
      </c>
      <c r="E188" s="139" t="s">
        <v>141</v>
      </c>
      <c r="F188" s="778" t="s">
        <v>132</v>
      </c>
      <c r="G188" s="779" t="s">
        <v>98</v>
      </c>
      <c r="H188" s="779" t="s">
        <v>90</v>
      </c>
      <c r="I188" s="780" t="s">
        <v>97</v>
      </c>
      <c r="J188" s="139"/>
      <c r="K188" s="151">
        <f t="shared" si="43"/>
        <v>786.6</v>
      </c>
      <c r="L188" s="151">
        <f t="shared" si="43"/>
        <v>0</v>
      </c>
      <c r="M188" s="151">
        <f t="shared" si="43"/>
        <v>786.6</v>
      </c>
    </row>
    <row r="189" spans="1:13" s="153" customFormat="1" ht="37.9" hidden="1" customHeight="1">
      <c r="A189" s="140"/>
      <c r="B189" s="725" t="s">
        <v>133</v>
      </c>
      <c r="C189" s="150" t="s">
        <v>13</v>
      </c>
      <c r="D189" s="139" t="s">
        <v>167</v>
      </c>
      <c r="E189" s="139" t="s">
        <v>141</v>
      </c>
      <c r="F189" s="778" t="s">
        <v>132</v>
      </c>
      <c r="G189" s="779" t="s">
        <v>98</v>
      </c>
      <c r="H189" s="779" t="s">
        <v>90</v>
      </c>
      <c r="I189" s="780" t="s">
        <v>134</v>
      </c>
      <c r="J189" s="139"/>
      <c r="K189" s="151">
        <f t="shared" si="43"/>
        <v>786.6</v>
      </c>
      <c r="L189" s="151">
        <f t="shared" si="43"/>
        <v>0</v>
      </c>
      <c r="M189" s="151">
        <f t="shared" si="43"/>
        <v>786.6</v>
      </c>
    </row>
    <row r="190" spans="1:13" s="153" customFormat="1" ht="56.25" hidden="1">
      <c r="A190" s="140"/>
      <c r="B190" s="155" t="s">
        <v>135</v>
      </c>
      <c r="C190" s="150" t="s">
        <v>13</v>
      </c>
      <c r="D190" s="139" t="s">
        <v>167</v>
      </c>
      <c r="E190" s="139" t="s">
        <v>141</v>
      </c>
      <c r="F190" s="778" t="s">
        <v>132</v>
      </c>
      <c r="G190" s="779" t="s">
        <v>98</v>
      </c>
      <c r="H190" s="779" t="s">
        <v>90</v>
      </c>
      <c r="I190" s="780" t="s">
        <v>134</v>
      </c>
      <c r="J190" s="139" t="s">
        <v>136</v>
      </c>
      <c r="K190" s="151">
        <f>699.6+39+48</f>
        <v>786.6</v>
      </c>
      <c r="L190" s="151">
        <f>M190-K190</f>
        <v>0</v>
      </c>
      <c r="M190" s="151">
        <f>699.6+39+48</f>
        <v>786.6</v>
      </c>
    </row>
    <row r="191" spans="1:13" s="153" customFormat="1" ht="37.5" hidden="1">
      <c r="A191" s="140"/>
      <c r="B191" s="155" t="s">
        <v>608</v>
      </c>
      <c r="C191" s="150" t="s">
        <v>13</v>
      </c>
      <c r="D191" s="139" t="s">
        <v>130</v>
      </c>
      <c r="E191" s="139"/>
      <c r="F191" s="778"/>
      <c r="G191" s="779"/>
      <c r="H191" s="779"/>
      <c r="I191" s="780"/>
      <c r="J191" s="139"/>
      <c r="K191" s="151">
        <f t="shared" ref="K191:M203" si="44">K192</f>
        <v>14.3</v>
      </c>
      <c r="L191" s="151">
        <f t="shared" si="44"/>
        <v>0</v>
      </c>
      <c r="M191" s="151">
        <f t="shared" si="44"/>
        <v>14.3</v>
      </c>
    </row>
    <row r="192" spans="1:13" s="153" customFormat="1" ht="37.5" hidden="1">
      <c r="A192" s="140"/>
      <c r="B192" s="155" t="s">
        <v>609</v>
      </c>
      <c r="C192" s="150" t="s">
        <v>13</v>
      </c>
      <c r="D192" s="139" t="s">
        <v>130</v>
      </c>
      <c r="E192" s="139" t="s">
        <v>90</v>
      </c>
      <c r="F192" s="778"/>
      <c r="G192" s="779"/>
      <c r="H192" s="779"/>
      <c r="I192" s="780"/>
      <c r="J192" s="139"/>
      <c r="K192" s="151">
        <f t="shared" si="44"/>
        <v>14.3</v>
      </c>
      <c r="L192" s="151">
        <f t="shared" si="44"/>
        <v>0</v>
      </c>
      <c r="M192" s="151">
        <f t="shared" si="44"/>
        <v>14.3</v>
      </c>
    </row>
    <row r="193" spans="1:13" s="153" customFormat="1" ht="56.25" hidden="1">
      <c r="A193" s="140"/>
      <c r="B193" s="149" t="s">
        <v>93</v>
      </c>
      <c r="C193" s="150" t="s">
        <v>13</v>
      </c>
      <c r="D193" s="139" t="s">
        <v>130</v>
      </c>
      <c r="E193" s="139" t="s">
        <v>90</v>
      </c>
      <c r="F193" s="778" t="s">
        <v>94</v>
      </c>
      <c r="G193" s="779" t="s">
        <v>95</v>
      </c>
      <c r="H193" s="779" t="s">
        <v>96</v>
      </c>
      <c r="I193" s="780" t="s">
        <v>97</v>
      </c>
      <c r="J193" s="139"/>
      <c r="K193" s="151">
        <f t="shared" si="44"/>
        <v>14.3</v>
      </c>
      <c r="L193" s="151">
        <f t="shared" si="44"/>
        <v>0</v>
      </c>
      <c r="M193" s="151">
        <f t="shared" si="44"/>
        <v>14.3</v>
      </c>
    </row>
    <row r="194" spans="1:13" s="153" customFormat="1" ht="37.5" hidden="1">
      <c r="A194" s="140"/>
      <c r="B194" s="149" t="s">
        <v>491</v>
      </c>
      <c r="C194" s="150" t="s">
        <v>13</v>
      </c>
      <c r="D194" s="139" t="s">
        <v>130</v>
      </c>
      <c r="E194" s="139" t="s">
        <v>90</v>
      </c>
      <c r="F194" s="778" t="s">
        <v>94</v>
      </c>
      <c r="G194" s="779" t="s">
        <v>98</v>
      </c>
      <c r="H194" s="779" t="s">
        <v>96</v>
      </c>
      <c r="I194" s="780" t="s">
        <v>97</v>
      </c>
      <c r="J194" s="139"/>
      <c r="K194" s="151">
        <f t="shared" si="44"/>
        <v>14.3</v>
      </c>
      <c r="L194" s="151">
        <f t="shared" si="44"/>
        <v>0</v>
      </c>
      <c r="M194" s="151">
        <f t="shared" si="44"/>
        <v>14.3</v>
      </c>
    </row>
    <row r="195" spans="1:13" s="153" customFormat="1" ht="56.25" hidden="1">
      <c r="A195" s="140"/>
      <c r="B195" s="155" t="s">
        <v>610</v>
      </c>
      <c r="C195" s="150" t="s">
        <v>13</v>
      </c>
      <c r="D195" s="139" t="s">
        <v>130</v>
      </c>
      <c r="E195" s="139" t="s">
        <v>90</v>
      </c>
      <c r="F195" s="778" t="s">
        <v>94</v>
      </c>
      <c r="G195" s="779" t="s">
        <v>98</v>
      </c>
      <c r="H195" s="779" t="s">
        <v>139</v>
      </c>
      <c r="I195" s="780" t="s">
        <v>97</v>
      </c>
      <c r="J195" s="139"/>
      <c r="K195" s="151">
        <f t="shared" si="44"/>
        <v>14.3</v>
      </c>
      <c r="L195" s="151">
        <f t="shared" si="44"/>
        <v>0</v>
      </c>
      <c r="M195" s="151">
        <f t="shared" si="44"/>
        <v>14.3</v>
      </c>
    </row>
    <row r="196" spans="1:13" s="153" customFormat="1" ht="19.899999999999999" hidden="1" customHeight="1">
      <c r="A196" s="140"/>
      <c r="B196" s="728" t="s">
        <v>611</v>
      </c>
      <c r="C196" s="150" t="s">
        <v>13</v>
      </c>
      <c r="D196" s="139" t="s">
        <v>130</v>
      </c>
      <c r="E196" s="139" t="s">
        <v>90</v>
      </c>
      <c r="F196" s="778" t="s">
        <v>94</v>
      </c>
      <c r="G196" s="779" t="s">
        <v>98</v>
      </c>
      <c r="H196" s="779" t="s">
        <v>139</v>
      </c>
      <c r="I196" s="780" t="s">
        <v>612</v>
      </c>
      <c r="J196" s="139"/>
      <c r="K196" s="151">
        <f t="shared" si="44"/>
        <v>14.3</v>
      </c>
      <c r="L196" s="151">
        <f>L197</f>
        <v>0</v>
      </c>
      <c r="M196" s="151">
        <f t="shared" si="44"/>
        <v>14.3</v>
      </c>
    </row>
    <row r="197" spans="1:13" s="153" customFormat="1" ht="37.5" hidden="1">
      <c r="A197" s="140"/>
      <c r="B197" s="155" t="s">
        <v>613</v>
      </c>
      <c r="C197" s="150" t="s">
        <v>13</v>
      </c>
      <c r="D197" s="139" t="s">
        <v>130</v>
      </c>
      <c r="E197" s="139" t="s">
        <v>90</v>
      </c>
      <c r="F197" s="778" t="s">
        <v>94</v>
      </c>
      <c r="G197" s="779" t="s">
        <v>98</v>
      </c>
      <c r="H197" s="779" t="s">
        <v>139</v>
      </c>
      <c r="I197" s="780" t="s">
        <v>612</v>
      </c>
      <c r="J197" s="139" t="s">
        <v>614</v>
      </c>
      <c r="K197" s="151">
        <f>6+8.3</f>
        <v>14.3</v>
      </c>
      <c r="L197" s="151">
        <f>M197-K197</f>
        <v>0</v>
      </c>
      <c r="M197" s="151">
        <f>6+8.3</f>
        <v>14.3</v>
      </c>
    </row>
    <row r="198" spans="1:13" s="153" customFormat="1" ht="56.25" hidden="1">
      <c r="A198" s="140"/>
      <c r="B198" s="155" t="s">
        <v>886</v>
      </c>
      <c r="C198" s="150" t="s">
        <v>13</v>
      </c>
      <c r="D198" s="139" t="s">
        <v>149</v>
      </c>
      <c r="E198" s="139"/>
      <c r="F198" s="778"/>
      <c r="G198" s="779"/>
      <c r="H198" s="779"/>
      <c r="I198" s="780"/>
      <c r="J198" s="139"/>
      <c r="K198" s="151">
        <f t="shared" si="44"/>
        <v>1126.7059999999999</v>
      </c>
      <c r="L198" s="151">
        <f t="shared" si="44"/>
        <v>0</v>
      </c>
      <c r="M198" s="151">
        <f t="shared" si="44"/>
        <v>1126.7059999999999</v>
      </c>
    </row>
    <row r="199" spans="1:13" s="153" customFormat="1" ht="37.5" hidden="1">
      <c r="A199" s="140"/>
      <c r="B199" s="155" t="s">
        <v>885</v>
      </c>
      <c r="C199" s="150" t="s">
        <v>13</v>
      </c>
      <c r="D199" s="139" t="s">
        <v>149</v>
      </c>
      <c r="E199" s="139" t="s">
        <v>119</v>
      </c>
      <c r="F199" s="778"/>
      <c r="G199" s="779"/>
      <c r="H199" s="779"/>
      <c r="I199" s="780"/>
      <c r="J199" s="139"/>
      <c r="K199" s="151">
        <f t="shared" si="44"/>
        <v>1126.7059999999999</v>
      </c>
      <c r="L199" s="151">
        <f t="shared" si="44"/>
        <v>0</v>
      </c>
      <c r="M199" s="151">
        <f t="shared" si="44"/>
        <v>1126.7059999999999</v>
      </c>
    </row>
    <row r="200" spans="1:13" s="153" customFormat="1" ht="37.5" hidden="1">
      <c r="A200" s="140"/>
      <c r="B200" s="149" t="s">
        <v>124</v>
      </c>
      <c r="C200" s="150" t="s">
        <v>13</v>
      </c>
      <c r="D200" s="139" t="s">
        <v>149</v>
      </c>
      <c r="E200" s="139" t="s">
        <v>119</v>
      </c>
      <c r="F200" s="778" t="s">
        <v>125</v>
      </c>
      <c r="G200" s="779" t="s">
        <v>95</v>
      </c>
      <c r="H200" s="779" t="s">
        <v>96</v>
      </c>
      <c r="I200" s="780" t="s">
        <v>97</v>
      </c>
      <c r="J200" s="139"/>
      <c r="K200" s="151">
        <f t="shared" si="44"/>
        <v>1126.7059999999999</v>
      </c>
      <c r="L200" s="151">
        <f t="shared" si="44"/>
        <v>0</v>
      </c>
      <c r="M200" s="151">
        <f t="shared" si="44"/>
        <v>1126.7059999999999</v>
      </c>
    </row>
    <row r="201" spans="1:13" s="153" customFormat="1" ht="37.5" hidden="1">
      <c r="A201" s="140"/>
      <c r="B201" s="149" t="s">
        <v>126</v>
      </c>
      <c r="C201" s="150" t="s">
        <v>13</v>
      </c>
      <c r="D201" s="139" t="s">
        <v>149</v>
      </c>
      <c r="E201" s="139" t="s">
        <v>119</v>
      </c>
      <c r="F201" s="778" t="s">
        <v>125</v>
      </c>
      <c r="G201" s="779" t="s">
        <v>98</v>
      </c>
      <c r="H201" s="779" t="s">
        <v>96</v>
      </c>
      <c r="I201" s="780" t="s">
        <v>97</v>
      </c>
      <c r="J201" s="139"/>
      <c r="K201" s="151">
        <f t="shared" si="44"/>
        <v>1126.7059999999999</v>
      </c>
      <c r="L201" s="151">
        <f t="shared" si="44"/>
        <v>0</v>
      </c>
      <c r="M201" s="151">
        <f t="shared" si="44"/>
        <v>1126.7059999999999</v>
      </c>
    </row>
    <row r="202" spans="1:13" s="153" customFormat="1" ht="18.75" hidden="1">
      <c r="A202" s="140"/>
      <c r="B202" s="155" t="s">
        <v>122</v>
      </c>
      <c r="C202" s="150" t="s">
        <v>13</v>
      </c>
      <c r="D202" s="139" t="s">
        <v>149</v>
      </c>
      <c r="E202" s="139" t="s">
        <v>119</v>
      </c>
      <c r="F202" s="778" t="s">
        <v>125</v>
      </c>
      <c r="G202" s="779" t="s">
        <v>98</v>
      </c>
      <c r="H202" s="779" t="s">
        <v>90</v>
      </c>
      <c r="I202" s="780" t="s">
        <v>97</v>
      </c>
      <c r="J202" s="139"/>
      <c r="K202" s="151">
        <f t="shared" si="44"/>
        <v>1126.7059999999999</v>
      </c>
      <c r="L202" s="151">
        <f t="shared" si="44"/>
        <v>0</v>
      </c>
      <c r="M202" s="151">
        <f t="shared" si="44"/>
        <v>1126.7059999999999</v>
      </c>
    </row>
    <row r="203" spans="1:13" s="153" customFormat="1" ht="93.75" hidden="1">
      <c r="A203" s="140"/>
      <c r="B203" s="728" t="s">
        <v>884</v>
      </c>
      <c r="C203" s="150" t="s">
        <v>13</v>
      </c>
      <c r="D203" s="139" t="s">
        <v>149</v>
      </c>
      <c r="E203" s="139" t="s">
        <v>119</v>
      </c>
      <c r="F203" s="778" t="s">
        <v>125</v>
      </c>
      <c r="G203" s="779" t="s">
        <v>98</v>
      </c>
      <c r="H203" s="779" t="s">
        <v>90</v>
      </c>
      <c r="I203" s="780" t="s">
        <v>883</v>
      </c>
      <c r="J203" s="139"/>
      <c r="K203" s="151">
        <f t="shared" si="44"/>
        <v>1126.7059999999999</v>
      </c>
      <c r="L203" s="151">
        <f>L204</f>
        <v>0</v>
      </c>
      <c r="M203" s="151">
        <f t="shared" si="44"/>
        <v>1126.7059999999999</v>
      </c>
    </row>
    <row r="204" spans="1:13" s="153" customFormat="1" ht="18.75" hidden="1">
      <c r="A204" s="140"/>
      <c r="B204" s="155" t="s">
        <v>186</v>
      </c>
      <c r="C204" s="150" t="s">
        <v>13</v>
      </c>
      <c r="D204" s="139" t="s">
        <v>149</v>
      </c>
      <c r="E204" s="139" t="s">
        <v>119</v>
      </c>
      <c r="F204" s="778" t="s">
        <v>125</v>
      </c>
      <c r="G204" s="779" t="s">
        <v>98</v>
      </c>
      <c r="H204" s="779" t="s">
        <v>90</v>
      </c>
      <c r="I204" s="780" t="s">
        <v>883</v>
      </c>
      <c r="J204" s="139" t="s">
        <v>187</v>
      </c>
      <c r="K204" s="151">
        <v>1126.7059999999999</v>
      </c>
      <c r="L204" s="151">
        <f>M204-K204</f>
        <v>0</v>
      </c>
      <c r="M204" s="151">
        <v>1126.7059999999999</v>
      </c>
    </row>
    <row r="205" spans="1:13" ht="18.75" hidden="1">
      <c r="A205" s="140"/>
      <c r="B205" s="149"/>
      <c r="C205" s="150"/>
      <c r="D205" s="139"/>
      <c r="E205" s="139"/>
      <c r="F205" s="778"/>
      <c r="G205" s="779"/>
      <c r="H205" s="779"/>
      <c r="I205" s="780"/>
      <c r="J205" s="139"/>
      <c r="K205" s="151"/>
      <c r="L205" s="151"/>
      <c r="M205" s="151"/>
    </row>
    <row r="206" spans="1:13" ht="56.25" hidden="1">
      <c r="A206" s="141">
        <v>2</v>
      </c>
      <c r="B206" s="142" t="s">
        <v>28</v>
      </c>
      <c r="C206" s="143" t="s">
        <v>425</v>
      </c>
      <c r="D206" s="144"/>
      <c r="E206" s="144"/>
      <c r="F206" s="145"/>
      <c r="G206" s="146"/>
      <c r="H206" s="146"/>
      <c r="I206" s="147"/>
      <c r="J206" s="144"/>
      <c r="K206" s="228">
        <f>K207+K225</f>
        <v>35445.1</v>
      </c>
      <c r="L206" s="228">
        <f>L207+L225</f>
        <v>0</v>
      </c>
      <c r="M206" s="228">
        <f>M207+M225</f>
        <v>35445.1</v>
      </c>
    </row>
    <row r="207" spans="1:13" ht="18.75" hidden="1">
      <c r="A207" s="140"/>
      <c r="B207" s="149" t="s">
        <v>89</v>
      </c>
      <c r="C207" s="150" t="s">
        <v>425</v>
      </c>
      <c r="D207" s="139" t="s">
        <v>90</v>
      </c>
      <c r="E207" s="139"/>
      <c r="F207" s="778"/>
      <c r="G207" s="779"/>
      <c r="H207" s="779"/>
      <c r="I207" s="780"/>
      <c r="J207" s="139"/>
      <c r="K207" s="151">
        <f t="shared" ref="K207" si="45">K208+K219</f>
        <v>25645.1</v>
      </c>
      <c r="L207" s="151">
        <f t="shared" ref="L207:M207" si="46">L208+L219</f>
        <v>0</v>
      </c>
      <c r="M207" s="151">
        <f t="shared" si="46"/>
        <v>25645.1</v>
      </c>
    </row>
    <row r="208" spans="1:13" ht="75" hidden="1">
      <c r="A208" s="140"/>
      <c r="B208" s="149" t="s">
        <v>198</v>
      </c>
      <c r="C208" s="150" t="s">
        <v>425</v>
      </c>
      <c r="D208" s="139" t="s">
        <v>90</v>
      </c>
      <c r="E208" s="139" t="s">
        <v>141</v>
      </c>
      <c r="F208" s="778"/>
      <c r="G208" s="779"/>
      <c r="H208" s="779"/>
      <c r="I208" s="780"/>
      <c r="J208" s="139"/>
      <c r="K208" s="151">
        <f t="shared" ref="K208:M211" si="47">K209</f>
        <v>23665.699999999997</v>
      </c>
      <c r="L208" s="151">
        <f t="shared" si="47"/>
        <v>0</v>
      </c>
      <c r="M208" s="151">
        <f t="shared" si="47"/>
        <v>23665.699999999997</v>
      </c>
    </row>
    <row r="209" spans="1:13" ht="56.25" hidden="1">
      <c r="A209" s="140"/>
      <c r="B209" s="149" t="s">
        <v>303</v>
      </c>
      <c r="C209" s="150" t="s">
        <v>425</v>
      </c>
      <c r="D209" s="139" t="s">
        <v>90</v>
      </c>
      <c r="E209" s="139" t="s">
        <v>141</v>
      </c>
      <c r="F209" s="778" t="s">
        <v>304</v>
      </c>
      <c r="G209" s="779" t="s">
        <v>95</v>
      </c>
      <c r="H209" s="779" t="s">
        <v>96</v>
      </c>
      <c r="I209" s="780" t="s">
        <v>97</v>
      </c>
      <c r="J209" s="139"/>
      <c r="K209" s="151">
        <f t="shared" si="47"/>
        <v>23665.699999999997</v>
      </c>
      <c r="L209" s="151">
        <f t="shared" si="47"/>
        <v>0</v>
      </c>
      <c r="M209" s="151">
        <f t="shared" si="47"/>
        <v>23665.699999999997</v>
      </c>
    </row>
    <row r="210" spans="1:13" ht="37.5" hidden="1">
      <c r="A210" s="140"/>
      <c r="B210" s="149" t="s">
        <v>491</v>
      </c>
      <c r="C210" s="150" t="s">
        <v>425</v>
      </c>
      <c r="D210" s="139" t="s">
        <v>90</v>
      </c>
      <c r="E210" s="139" t="s">
        <v>141</v>
      </c>
      <c r="F210" s="160" t="s">
        <v>304</v>
      </c>
      <c r="G210" s="161" t="s">
        <v>98</v>
      </c>
      <c r="H210" s="779" t="s">
        <v>96</v>
      </c>
      <c r="I210" s="780" t="s">
        <v>97</v>
      </c>
      <c r="J210" s="139"/>
      <c r="K210" s="151">
        <f t="shared" ref="K210" si="48">K211+K216</f>
        <v>23665.699999999997</v>
      </c>
      <c r="L210" s="151">
        <f t="shared" ref="L210:M210" si="49">L211+L216</f>
        <v>0</v>
      </c>
      <c r="M210" s="151">
        <f t="shared" si="49"/>
        <v>23665.699999999997</v>
      </c>
    </row>
    <row r="211" spans="1:13" ht="56.25" hidden="1">
      <c r="A211" s="140"/>
      <c r="B211" s="149" t="s">
        <v>426</v>
      </c>
      <c r="C211" s="150" t="s">
        <v>425</v>
      </c>
      <c r="D211" s="139" t="s">
        <v>90</v>
      </c>
      <c r="E211" s="139" t="s">
        <v>141</v>
      </c>
      <c r="F211" s="160" t="s">
        <v>304</v>
      </c>
      <c r="G211" s="161" t="s">
        <v>98</v>
      </c>
      <c r="H211" s="779" t="s">
        <v>90</v>
      </c>
      <c r="I211" s="780" t="s">
        <v>97</v>
      </c>
      <c r="J211" s="139"/>
      <c r="K211" s="151">
        <f t="shared" si="47"/>
        <v>23472.399999999998</v>
      </c>
      <c r="L211" s="151">
        <f t="shared" si="47"/>
        <v>0</v>
      </c>
      <c r="M211" s="151">
        <f t="shared" si="47"/>
        <v>23472.399999999998</v>
      </c>
    </row>
    <row r="212" spans="1:13" ht="37.5" hidden="1">
      <c r="A212" s="140"/>
      <c r="B212" s="149" t="s">
        <v>100</v>
      </c>
      <c r="C212" s="150" t="s">
        <v>425</v>
      </c>
      <c r="D212" s="139" t="s">
        <v>90</v>
      </c>
      <c r="E212" s="139" t="s">
        <v>141</v>
      </c>
      <c r="F212" s="160" t="s">
        <v>304</v>
      </c>
      <c r="G212" s="161" t="s">
        <v>98</v>
      </c>
      <c r="H212" s="779" t="s">
        <v>90</v>
      </c>
      <c r="I212" s="780" t="s">
        <v>101</v>
      </c>
      <c r="J212" s="139"/>
      <c r="K212" s="151">
        <f t="shared" ref="K212" si="50">SUM(K213:K215)</f>
        <v>23472.399999999998</v>
      </c>
      <c r="L212" s="151">
        <f t="shared" ref="L212:M212" si="51">SUM(L213:L215)</f>
        <v>0</v>
      </c>
      <c r="M212" s="151">
        <f t="shared" si="51"/>
        <v>23472.399999999998</v>
      </c>
    </row>
    <row r="213" spans="1:13" ht="96.6" hidden="1" customHeight="1">
      <c r="A213" s="140"/>
      <c r="B213" s="724" t="s">
        <v>102</v>
      </c>
      <c r="C213" s="150" t="s">
        <v>425</v>
      </c>
      <c r="D213" s="139" t="s">
        <v>90</v>
      </c>
      <c r="E213" s="139" t="s">
        <v>141</v>
      </c>
      <c r="F213" s="160" t="s">
        <v>304</v>
      </c>
      <c r="G213" s="161" t="s">
        <v>98</v>
      </c>
      <c r="H213" s="779" t="s">
        <v>90</v>
      </c>
      <c r="I213" s="780" t="s">
        <v>101</v>
      </c>
      <c r="J213" s="139" t="s">
        <v>103</v>
      </c>
      <c r="K213" s="151">
        <f>21722.4+773.3</f>
        <v>22495.7</v>
      </c>
      <c r="L213" s="151">
        <f t="shared" ref="L213:L215" si="52">M213-K213</f>
        <v>0</v>
      </c>
      <c r="M213" s="151">
        <f>21722.4+773.3</f>
        <v>22495.7</v>
      </c>
    </row>
    <row r="214" spans="1:13" ht="52.15" hidden="1" customHeight="1">
      <c r="A214" s="140"/>
      <c r="B214" s="724" t="s">
        <v>108</v>
      </c>
      <c r="C214" s="150" t="s">
        <v>425</v>
      </c>
      <c r="D214" s="139" t="s">
        <v>90</v>
      </c>
      <c r="E214" s="139" t="s">
        <v>141</v>
      </c>
      <c r="F214" s="160" t="s">
        <v>304</v>
      </c>
      <c r="G214" s="161" t="s">
        <v>98</v>
      </c>
      <c r="H214" s="779" t="s">
        <v>90</v>
      </c>
      <c r="I214" s="780" t="s">
        <v>101</v>
      </c>
      <c r="J214" s="139" t="s">
        <v>109</v>
      </c>
      <c r="K214" s="151">
        <f>921.6+47.4+2.6</f>
        <v>971.6</v>
      </c>
      <c r="L214" s="151">
        <f t="shared" si="52"/>
        <v>0</v>
      </c>
      <c r="M214" s="151">
        <f>921.6+47.4+2.6</f>
        <v>971.6</v>
      </c>
    </row>
    <row r="215" spans="1:13" ht="18.75" hidden="1">
      <c r="A215" s="140"/>
      <c r="B215" s="149" t="s">
        <v>110</v>
      </c>
      <c r="C215" s="150" t="s">
        <v>425</v>
      </c>
      <c r="D215" s="139" t="s">
        <v>90</v>
      </c>
      <c r="E215" s="139" t="s">
        <v>141</v>
      </c>
      <c r="F215" s="160" t="s">
        <v>304</v>
      </c>
      <c r="G215" s="161" t="s">
        <v>98</v>
      </c>
      <c r="H215" s="779" t="s">
        <v>90</v>
      </c>
      <c r="I215" s="780" t="s">
        <v>101</v>
      </c>
      <c r="J215" s="139" t="s">
        <v>111</v>
      </c>
      <c r="K215" s="151">
        <v>5.0999999999999996</v>
      </c>
      <c r="L215" s="151">
        <f t="shared" si="52"/>
        <v>0</v>
      </c>
      <c r="M215" s="151">
        <v>5.0999999999999996</v>
      </c>
    </row>
    <row r="216" spans="1:13" ht="75" hidden="1">
      <c r="A216" s="140"/>
      <c r="B216" s="149" t="s">
        <v>465</v>
      </c>
      <c r="C216" s="150" t="s">
        <v>425</v>
      </c>
      <c r="D216" s="139" t="s">
        <v>90</v>
      </c>
      <c r="E216" s="139" t="s">
        <v>141</v>
      </c>
      <c r="F216" s="160" t="s">
        <v>304</v>
      </c>
      <c r="G216" s="161" t="s">
        <v>98</v>
      </c>
      <c r="H216" s="779" t="s">
        <v>105</v>
      </c>
      <c r="I216" s="780" t="s">
        <v>97</v>
      </c>
      <c r="J216" s="139"/>
      <c r="K216" s="151">
        <f t="shared" ref="K216:M216" si="53">K217</f>
        <v>193.3</v>
      </c>
      <c r="L216" s="151">
        <f t="shared" si="53"/>
        <v>0</v>
      </c>
      <c r="M216" s="151">
        <f t="shared" si="53"/>
        <v>193.3</v>
      </c>
    </row>
    <row r="217" spans="1:13" ht="37.5" hidden="1">
      <c r="A217" s="140"/>
      <c r="B217" s="149" t="s">
        <v>576</v>
      </c>
      <c r="C217" s="150" t="s">
        <v>425</v>
      </c>
      <c r="D217" s="139" t="s">
        <v>90</v>
      </c>
      <c r="E217" s="139" t="s">
        <v>141</v>
      </c>
      <c r="F217" s="160" t="s">
        <v>304</v>
      </c>
      <c r="G217" s="161" t="s">
        <v>98</v>
      </c>
      <c r="H217" s="779" t="s">
        <v>105</v>
      </c>
      <c r="I217" s="780" t="s">
        <v>575</v>
      </c>
      <c r="J217" s="139"/>
      <c r="K217" s="151">
        <f>SUM(K218:K218)</f>
        <v>193.3</v>
      </c>
      <c r="L217" s="151">
        <f>SUM(L218:L218)</f>
        <v>0</v>
      </c>
      <c r="M217" s="151">
        <f>SUM(M218:M218)</f>
        <v>193.3</v>
      </c>
    </row>
    <row r="218" spans="1:13" ht="57" hidden="1" customHeight="1">
      <c r="A218" s="140"/>
      <c r="B218" s="724" t="s">
        <v>108</v>
      </c>
      <c r="C218" s="150" t="s">
        <v>425</v>
      </c>
      <c r="D218" s="139" t="s">
        <v>90</v>
      </c>
      <c r="E218" s="139" t="s">
        <v>141</v>
      </c>
      <c r="F218" s="160" t="s">
        <v>304</v>
      </c>
      <c r="G218" s="161" t="s">
        <v>98</v>
      </c>
      <c r="H218" s="779" t="s">
        <v>105</v>
      </c>
      <c r="I218" s="780" t="s">
        <v>575</v>
      </c>
      <c r="J218" s="139" t="s">
        <v>109</v>
      </c>
      <c r="K218" s="151">
        <v>193.3</v>
      </c>
      <c r="L218" s="151">
        <f>M218-K218</f>
        <v>0</v>
      </c>
      <c r="M218" s="151">
        <v>193.3</v>
      </c>
    </row>
    <row r="219" spans="1:13" ht="18.75" hidden="1">
      <c r="A219" s="140"/>
      <c r="B219" s="149" t="s">
        <v>129</v>
      </c>
      <c r="C219" s="150" t="s">
        <v>425</v>
      </c>
      <c r="D219" s="139" t="s">
        <v>90</v>
      </c>
      <c r="E219" s="139" t="s">
        <v>130</v>
      </c>
      <c r="F219" s="160"/>
      <c r="G219" s="161"/>
      <c r="H219" s="779"/>
      <c r="I219" s="780"/>
      <c r="J219" s="139"/>
      <c r="K219" s="151">
        <f t="shared" ref="K219:M223" si="54">K220</f>
        <v>1979.4</v>
      </c>
      <c r="L219" s="151">
        <f t="shared" si="54"/>
        <v>0</v>
      </c>
      <c r="M219" s="151">
        <f t="shared" si="54"/>
        <v>1979.4</v>
      </c>
    </row>
    <row r="220" spans="1:13" ht="56.25" hidden="1">
      <c r="A220" s="140"/>
      <c r="B220" s="149" t="s">
        <v>303</v>
      </c>
      <c r="C220" s="150" t="s">
        <v>425</v>
      </c>
      <c r="D220" s="139" t="s">
        <v>90</v>
      </c>
      <c r="E220" s="139" t="s">
        <v>130</v>
      </c>
      <c r="F220" s="160" t="s">
        <v>304</v>
      </c>
      <c r="G220" s="161" t="s">
        <v>95</v>
      </c>
      <c r="H220" s="779" t="s">
        <v>96</v>
      </c>
      <c r="I220" s="780" t="s">
        <v>97</v>
      </c>
      <c r="J220" s="139"/>
      <c r="K220" s="151">
        <f t="shared" si="54"/>
        <v>1979.4</v>
      </c>
      <c r="L220" s="151">
        <f t="shared" si="54"/>
        <v>0</v>
      </c>
      <c r="M220" s="151">
        <f t="shared" si="54"/>
        <v>1979.4</v>
      </c>
    </row>
    <row r="221" spans="1:13" ht="37.5" hidden="1">
      <c r="A221" s="140"/>
      <c r="B221" s="149" t="s">
        <v>491</v>
      </c>
      <c r="C221" s="150" t="s">
        <v>425</v>
      </c>
      <c r="D221" s="139" t="s">
        <v>90</v>
      </c>
      <c r="E221" s="139" t="s">
        <v>130</v>
      </c>
      <c r="F221" s="160" t="s">
        <v>304</v>
      </c>
      <c r="G221" s="161" t="s">
        <v>98</v>
      </c>
      <c r="H221" s="779" t="s">
        <v>96</v>
      </c>
      <c r="I221" s="780" t="s">
        <v>97</v>
      </c>
      <c r="J221" s="139"/>
      <c r="K221" s="151">
        <f t="shared" si="54"/>
        <v>1979.4</v>
      </c>
      <c r="L221" s="151">
        <f t="shared" si="54"/>
        <v>0</v>
      </c>
      <c r="M221" s="151">
        <f t="shared" si="54"/>
        <v>1979.4</v>
      </c>
    </row>
    <row r="222" spans="1:13" ht="37.5" hidden="1">
      <c r="A222" s="140"/>
      <c r="B222" s="149" t="s">
        <v>521</v>
      </c>
      <c r="C222" s="150" t="s">
        <v>425</v>
      </c>
      <c r="D222" s="139" t="s">
        <v>90</v>
      </c>
      <c r="E222" s="139" t="s">
        <v>130</v>
      </c>
      <c r="F222" s="160" t="s">
        <v>304</v>
      </c>
      <c r="G222" s="161" t="s">
        <v>98</v>
      </c>
      <c r="H222" s="779" t="s">
        <v>119</v>
      </c>
      <c r="I222" s="780" t="s">
        <v>97</v>
      </c>
      <c r="J222" s="139"/>
      <c r="K222" s="151">
        <f t="shared" si="54"/>
        <v>1979.4</v>
      </c>
      <c r="L222" s="151">
        <f t="shared" si="54"/>
        <v>0</v>
      </c>
      <c r="M222" s="151">
        <f t="shared" si="54"/>
        <v>1979.4</v>
      </c>
    </row>
    <row r="223" spans="1:13" ht="75" hidden="1">
      <c r="A223" s="140"/>
      <c r="B223" s="149" t="s">
        <v>522</v>
      </c>
      <c r="C223" s="150" t="s">
        <v>425</v>
      </c>
      <c r="D223" s="139" t="s">
        <v>90</v>
      </c>
      <c r="E223" s="139" t="s">
        <v>130</v>
      </c>
      <c r="F223" s="160" t="s">
        <v>304</v>
      </c>
      <c r="G223" s="161" t="s">
        <v>98</v>
      </c>
      <c r="H223" s="779" t="s">
        <v>119</v>
      </c>
      <c r="I223" s="780" t="s">
        <v>168</v>
      </c>
      <c r="J223" s="139"/>
      <c r="K223" s="151">
        <f t="shared" si="54"/>
        <v>1979.4</v>
      </c>
      <c r="L223" s="151">
        <f t="shared" si="54"/>
        <v>0</v>
      </c>
      <c r="M223" s="151">
        <f t="shared" si="54"/>
        <v>1979.4</v>
      </c>
    </row>
    <row r="224" spans="1:13" ht="54.6" hidden="1" customHeight="1">
      <c r="A224" s="140"/>
      <c r="B224" s="724" t="s">
        <v>108</v>
      </c>
      <c r="C224" s="150" t="s">
        <v>425</v>
      </c>
      <c r="D224" s="139" t="s">
        <v>90</v>
      </c>
      <c r="E224" s="139" t="s">
        <v>130</v>
      </c>
      <c r="F224" s="160" t="s">
        <v>304</v>
      </c>
      <c r="G224" s="161" t="s">
        <v>98</v>
      </c>
      <c r="H224" s="779" t="s">
        <v>119</v>
      </c>
      <c r="I224" s="780" t="s">
        <v>168</v>
      </c>
      <c r="J224" s="139" t="s">
        <v>109</v>
      </c>
      <c r="K224" s="151">
        <f>1925.9+16.8+36.7</f>
        <v>1979.4</v>
      </c>
      <c r="L224" s="151">
        <f>M224-K224</f>
        <v>0</v>
      </c>
      <c r="M224" s="151">
        <f>1925.9+16.8+36.7</f>
        <v>1979.4</v>
      </c>
    </row>
    <row r="225" spans="1:13" ht="56.25" hidden="1">
      <c r="A225" s="140"/>
      <c r="B225" s="149" t="s">
        <v>279</v>
      </c>
      <c r="C225" s="150" t="s">
        <v>425</v>
      </c>
      <c r="D225" s="139" t="s">
        <v>149</v>
      </c>
      <c r="E225" s="139"/>
      <c r="F225" s="160"/>
      <c r="G225" s="161"/>
      <c r="H225" s="779"/>
      <c r="I225" s="780"/>
      <c r="J225" s="139"/>
      <c r="K225" s="151">
        <f>K226+K232</f>
        <v>9800</v>
      </c>
      <c r="L225" s="151">
        <f>M225-K225</f>
        <v>0</v>
      </c>
      <c r="M225" s="151">
        <f>M226+M232</f>
        <v>9800</v>
      </c>
    </row>
    <row r="226" spans="1:13" ht="56.25" hidden="1">
      <c r="A226" s="140"/>
      <c r="B226" s="157" t="s">
        <v>280</v>
      </c>
      <c r="C226" s="150" t="s">
        <v>425</v>
      </c>
      <c r="D226" s="139" t="s">
        <v>149</v>
      </c>
      <c r="E226" s="139" t="s">
        <v>90</v>
      </c>
      <c r="F226" s="160"/>
      <c r="G226" s="161"/>
      <c r="H226" s="779"/>
      <c r="I226" s="780"/>
      <c r="J226" s="139"/>
      <c r="K226" s="151">
        <f t="shared" ref="K226:M228" si="55">K227</f>
        <v>5000</v>
      </c>
      <c r="L226" s="151">
        <f t="shared" ref="L226:L230" si="56">M226-K226</f>
        <v>0</v>
      </c>
      <c r="M226" s="151">
        <f t="shared" si="55"/>
        <v>5000</v>
      </c>
    </row>
    <row r="227" spans="1:13" ht="56.25" hidden="1">
      <c r="A227" s="140"/>
      <c r="B227" s="149" t="s">
        <v>303</v>
      </c>
      <c r="C227" s="150" t="s">
        <v>425</v>
      </c>
      <c r="D227" s="139" t="s">
        <v>149</v>
      </c>
      <c r="E227" s="139" t="s">
        <v>90</v>
      </c>
      <c r="F227" s="160" t="s">
        <v>304</v>
      </c>
      <c r="G227" s="161" t="s">
        <v>95</v>
      </c>
      <c r="H227" s="779" t="s">
        <v>96</v>
      </c>
      <c r="I227" s="780" t="s">
        <v>97</v>
      </c>
      <c r="J227" s="139"/>
      <c r="K227" s="151">
        <f t="shared" si="55"/>
        <v>5000</v>
      </c>
      <c r="L227" s="151">
        <f t="shared" si="56"/>
        <v>0</v>
      </c>
      <c r="M227" s="151">
        <f t="shared" si="55"/>
        <v>5000</v>
      </c>
    </row>
    <row r="228" spans="1:13" ht="37.5" hidden="1">
      <c r="A228" s="140"/>
      <c r="B228" s="149" t="s">
        <v>491</v>
      </c>
      <c r="C228" s="150" t="s">
        <v>425</v>
      </c>
      <c r="D228" s="139" t="s">
        <v>149</v>
      </c>
      <c r="E228" s="139" t="s">
        <v>90</v>
      </c>
      <c r="F228" s="160" t="s">
        <v>304</v>
      </c>
      <c r="G228" s="161" t="s">
        <v>98</v>
      </c>
      <c r="H228" s="779" t="s">
        <v>96</v>
      </c>
      <c r="I228" s="780" t="s">
        <v>97</v>
      </c>
      <c r="J228" s="139"/>
      <c r="K228" s="151">
        <f t="shared" si="55"/>
        <v>5000</v>
      </c>
      <c r="L228" s="151">
        <f t="shared" si="56"/>
        <v>0</v>
      </c>
      <c r="M228" s="151">
        <f t="shared" si="55"/>
        <v>5000</v>
      </c>
    </row>
    <row r="229" spans="1:13" ht="37.5" hidden="1">
      <c r="A229" s="140"/>
      <c r="B229" s="149" t="s">
        <v>427</v>
      </c>
      <c r="C229" s="150" t="s">
        <v>425</v>
      </c>
      <c r="D229" s="139" t="s">
        <v>149</v>
      </c>
      <c r="E229" s="139" t="s">
        <v>90</v>
      </c>
      <c r="F229" s="160" t="s">
        <v>304</v>
      </c>
      <c r="G229" s="161" t="s">
        <v>98</v>
      </c>
      <c r="H229" s="779" t="s">
        <v>92</v>
      </c>
      <c r="I229" s="780" t="s">
        <v>97</v>
      </c>
      <c r="J229" s="139"/>
      <c r="K229" s="151">
        <f>K230</f>
        <v>5000</v>
      </c>
      <c r="L229" s="151">
        <f t="shared" si="56"/>
        <v>0</v>
      </c>
      <c r="M229" s="151">
        <f>M230</f>
        <v>5000</v>
      </c>
    </row>
    <row r="230" spans="1:13" ht="37.5" hidden="1">
      <c r="A230" s="140"/>
      <c r="B230" s="149" t="s">
        <v>363</v>
      </c>
      <c r="C230" s="150" t="s">
        <v>425</v>
      </c>
      <c r="D230" s="139" t="s">
        <v>149</v>
      </c>
      <c r="E230" s="139" t="s">
        <v>90</v>
      </c>
      <c r="F230" s="160" t="s">
        <v>304</v>
      </c>
      <c r="G230" s="161" t="s">
        <v>98</v>
      </c>
      <c r="H230" s="779" t="s">
        <v>92</v>
      </c>
      <c r="I230" s="780" t="s">
        <v>807</v>
      </c>
      <c r="J230" s="139"/>
      <c r="K230" s="151">
        <f>K231</f>
        <v>5000</v>
      </c>
      <c r="L230" s="151">
        <f t="shared" si="56"/>
        <v>0</v>
      </c>
      <c r="M230" s="151">
        <f>M231</f>
        <v>5000</v>
      </c>
    </row>
    <row r="231" spans="1:13" ht="18.75" hidden="1">
      <c r="A231" s="140"/>
      <c r="B231" s="149" t="s">
        <v>186</v>
      </c>
      <c r="C231" s="150" t="s">
        <v>425</v>
      </c>
      <c r="D231" s="139" t="s">
        <v>149</v>
      </c>
      <c r="E231" s="139" t="s">
        <v>90</v>
      </c>
      <c r="F231" s="160" t="s">
        <v>304</v>
      </c>
      <c r="G231" s="161" t="s">
        <v>98</v>
      </c>
      <c r="H231" s="779" t="s">
        <v>92</v>
      </c>
      <c r="I231" s="780" t="s">
        <v>807</v>
      </c>
      <c r="J231" s="139" t="s">
        <v>187</v>
      </c>
      <c r="K231" s="151">
        <v>5000</v>
      </c>
      <c r="L231" s="151">
        <f>M231-K231</f>
        <v>0</v>
      </c>
      <c r="M231" s="151">
        <v>5000</v>
      </c>
    </row>
    <row r="232" spans="1:13" ht="18.75" hidden="1">
      <c r="A232" s="140"/>
      <c r="B232" s="149" t="s">
        <v>876</v>
      </c>
      <c r="C232" s="150" t="s">
        <v>425</v>
      </c>
      <c r="D232" s="139" t="s">
        <v>149</v>
      </c>
      <c r="E232" s="139" t="s">
        <v>92</v>
      </c>
      <c r="F232" s="160"/>
      <c r="G232" s="161"/>
      <c r="H232" s="779"/>
      <c r="I232" s="780"/>
      <c r="J232" s="139"/>
      <c r="K232" s="151">
        <f t="shared" ref="K232:M235" si="57">K233</f>
        <v>4800</v>
      </c>
      <c r="L232" s="151">
        <f t="shared" si="57"/>
        <v>0</v>
      </c>
      <c r="M232" s="151">
        <f t="shared" si="57"/>
        <v>4800</v>
      </c>
    </row>
    <row r="233" spans="1:13" ht="56.25" hidden="1">
      <c r="A233" s="140"/>
      <c r="B233" s="149" t="s">
        <v>303</v>
      </c>
      <c r="C233" s="150" t="s">
        <v>425</v>
      </c>
      <c r="D233" s="139" t="s">
        <v>149</v>
      </c>
      <c r="E233" s="139" t="s">
        <v>92</v>
      </c>
      <c r="F233" s="160" t="s">
        <v>304</v>
      </c>
      <c r="G233" s="161" t="s">
        <v>95</v>
      </c>
      <c r="H233" s="779" t="s">
        <v>96</v>
      </c>
      <c r="I233" s="780" t="s">
        <v>97</v>
      </c>
      <c r="J233" s="139"/>
      <c r="K233" s="151">
        <f t="shared" si="57"/>
        <v>4800</v>
      </c>
      <c r="L233" s="151">
        <f t="shared" si="57"/>
        <v>0</v>
      </c>
      <c r="M233" s="151">
        <f t="shared" si="57"/>
        <v>4800</v>
      </c>
    </row>
    <row r="234" spans="1:13" ht="37.5" hidden="1">
      <c r="A234" s="140"/>
      <c r="B234" s="149" t="s">
        <v>491</v>
      </c>
      <c r="C234" s="150" t="s">
        <v>425</v>
      </c>
      <c r="D234" s="139" t="s">
        <v>149</v>
      </c>
      <c r="E234" s="139" t="s">
        <v>92</v>
      </c>
      <c r="F234" s="160" t="s">
        <v>304</v>
      </c>
      <c r="G234" s="161" t="s">
        <v>98</v>
      </c>
      <c r="H234" s="779" t="s">
        <v>96</v>
      </c>
      <c r="I234" s="780" t="s">
        <v>97</v>
      </c>
      <c r="J234" s="139"/>
      <c r="K234" s="151">
        <f t="shared" si="57"/>
        <v>4800</v>
      </c>
      <c r="L234" s="151">
        <f t="shared" si="57"/>
        <v>0</v>
      </c>
      <c r="M234" s="151">
        <f t="shared" si="57"/>
        <v>4800</v>
      </c>
    </row>
    <row r="235" spans="1:13" ht="37.5" hidden="1">
      <c r="A235" s="140"/>
      <c r="B235" s="149" t="s">
        <v>427</v>
      </c>
      <c r="C235" s="150" t="s">
        <v>425</v>
      </c>
      <c r="D235" s="139" t="s">
        <v>149</v>
      </c>
      <c r="E235" s="139" t="s">
        <v>92</v>
      </c>
      <c r="F235" s="160" t="s">
        <v>304</v>
      </c>
      <c r="G235" s="161" t="s">
        <v>98</v>
      </c>
      <c r="H235" s="779" t="s">
        <v>92</v>
      </c>
      <c r="I235" s="780" t="s">
        <v>97</v>
      </c>
      <c r="J235" s="139"/>
      <c r="K235" s="151">
        <f t="shared" si="57"/>
        <v>4800</v>
      </c>
      <c r="L235" s="151">
        <f t="shared" si="57"/>
        <v>0</v>
      </c>
      <c r="M235" s="151">
        <f t="shared" si="57"/>
        <v>4800</v>
      </c>
    </row>
    <row r="236" spans="1:13" ht="37.5" hidden="1">
      <c r="A236" s="140"/>
      <c r="B236" s="149" t="s">
        <v>860</v>
      </c>
      <c r="C236" s="150" t="s">
        <v>425</v>
      </c>
      <c r="D236" s="139" t="s">
        <v>149</v>
      </c>
      <c r="E236" s="139" t="s">
        <v>92</v>
      </c>
      <c r="F236" s="160" t="s">
        <v>304</v>
      </c>
      <c r="G236" s="161" t="s">
        <v>98</v>
      </c>
      <c r="H236" s="779" t="s">
        <v>92</v>
      </c>
      <c r="I236" s="780" t="s">
        <v>859</v>
      </c>
      <c r="J236" s="139"/>
      <c r="K236" s="151">
        <f>K237</f>
        <v>4800</v>
      </c>
      <c r="L236" s="151">
        <f>L237</f>
        <v>0</v>
      </c>
      <c r="M236" s="151">
        <f>M237</f>
        <v>4800</v>
      </c>
    </row>
    <row r="237" spans="1:13" ht="18.75" hidden="1">
      <c r="A237" s="140"/>
      <c r="B237" s="149" t="s">
        <v>186</v>
      </c>
      <c r="C237" s="150" t="s">
        <v>425</v>
      </c>
      <c r="D237" s="139" t="s">
        <v>149</v>
      </c>
      <c r="E237" s="139" t="s">
        <v>92</v>
      </c>
      <c r="F237" s="160" t="s">
        <v>304</v>
      </c>
      <c r="G237" s="161" t="s">
        <v>98</v>
      </c>
      <c r="H237" s="779" t="s">
        <v>92</v>
      </c>
      <c r="I237" s="780" t="s">
        <v>859</v>
      </c>
      <c r="J237" s="139" t="s">
        <v>187</v>
      </c>
      <c r="K237" s="151">
        <v>4800</v>
      </c>
      <c r="L237" s="151">
        <f>M237-K237</f>
        <v>0</v>
      </c>
      <c r="M237" s="151">
        <v>4800</v>
      </c>
    </row>
    <row r="238" spans="1:13" ht="18.75" hidden="1">
      <c r="A238" s="140"/>
      <c r="B238" s="149"/>
      <c r="C238" s="150"/>
      <c r="D238" s="139"/>
      <c r="E238" s="139"/>
      <c r="F238" s="160"/>
      <c r="G238" s="161"/>
      <c r="H238" s="779"/>
      <c r="I238" s="780"/>
      <c r="J238" s="139"/>
      <c r="K238" s="151"/>
      <c r="L238" s="151"/>
      <c r="M238" s="151"/>
    </row>
    <row r="239" spans="1:13" ht="56.25" hidden="1">
      <c r="A239" s="141">
        <v>3</v>
      </c>
      <c r="B239" s="142" t="s">
        <v>88</v>
      </c>
      <c r="C239" s="143" t="s">
        <v>197</v>
      </c>
      <c r="D239" s="144"/>
      <c r="E239" s="144"/>
      <c r="F239" s="145"/>
      <c r="G239" s="146"/>
      <c r="H239" s="146"/>
      <c r="I239" s="147"/>
      <c r="J239" s="144"/>
      <c r="K239" s="228">
        <f t="shared" ref="K239:M242" si="58">K240</f>
        <v>3999.2000000000003</v>
      </c>
      <c r="L239" s="228">
        <f t="shared" si="58"/>
        <v>0</v>
      </c>
      <c r="M239" s="228">
        <f t="shared" si="58"/>
        <v>3999.2000000000003</v>
      </c>
    </row>
    <row r="240" spans="1:13" ht="18.75" hidden="1">
      <c r="A240" s="140"/>
      <c r="B240" s="149" t="s">
        <v>89</v>
      </c>
      <c r="C240" s="150" t="s">
        <v>197</v>
      </c>
      <c r="D240" s="139" t="s">
        <v>90</v>
      </c>
      <c r="E240" s="139"/>
      <c r="F240" s="778"/>
      <c r="G240" s="779"/>
      <c r="H240" s="779"/>
      <c r="I240" s="780"/>
      <c r="J240" s="139"/>
      <c r="K240" s="151">
        <f t="shared" si="58"/>
        <v>3999.2000000000003</v>
      </c>
      <c r="L240" s="151">
        <f t="shared" si="58"/>
        <v>0</v>
      </c>
      <c r="M240" s="151">
        <f t="shared" si="58"/>
        <v>3999.2000000000003</v>
      </c>
    </row>
    <row r="241" spans="1:13" ht="75" hidden="1">
      <c r="A241" s="140"/>
      <c r="B241" s="149" t="s">
        <v>198</v>
      </c>
      <c r="C241" s="150" t="s">
        <v>197</v>
      </c>
      <c r="D241" s="139" t="s">
        <v>90</v>
      </c>
      <c r="E241" s="139" t="s">
        <v>141</v>
      </c>
      <c r="F241" s="778"/>
      <c r="G241" s="779"/>
      <c r="H241" s="779"/>
      <c r="I241" s="780"/>
      <c r="J241" s="139"/>
      <c r="K241" s="151">
        <f t="shared" si="58"/>
        <v>3999.2000000000003</v>
      </c>
      <c r="L241" s="151">
        <f t="shared" si="58"/>
        <v>0</v>
      </c>
      <c r="M241" s="151">
        <f t="shared" si="58"/>
        <v>3999.2000000000003</v>
      </c>
    </row>
    <row r="242" spans="1:13" ht="56.25" hidden="1">
      <c r="A242" s="140"/>
      <c r="B242" s="154" t="s">
        <v>199</v>
      </c>
      <c r="C242" s="150" t="s">
        <v>197</v>
      </c>
      <c r="D242" s="139" t="s">
        <v>90</v>
      </c>
      <c r="E242" s="139" t="s">
        <v>141</v>
      </c>
      <c r="F242" s="778" t="s">
        <v>200</v>
      </c>
      <c r="G242" s="779" t="s">
        <v>95</v>
      </c>
      <c r="H242" s="779" t="s">
        <v>96</v>
      </c>
      <c r="I242" s="780" t="s">
        <v>97</v>
      </c>
      <c r="J242" s="139"/>
      <c r="K242" s="151">
        <f t="shared" si="58"/>
        <v>3999.2000000000003</v>
      </c>
      <c r="L242" s="151">
        <f t="shared" si="58"/>
        <v>0</v>
      </c>
      <c r="M242" s="151">
        <f t="shared" si="58"/>
        <v>3999.2000000000003</v>
      </c>
    </row>
    <row r="243" spans="1:13" ht="75" hidden="1">
      <c r="A243" s="140"/>
      <c r="B243" s="154" t="s">
        <v>202</v>
      </c>
      <c r="C243" s="150" t="s">
        <v>197</v>
      </c>
      <c r="D243" s="139" t="s">
        <v>90</v>
      </c>
      <c r="E243" s="139" t="s">
        <v>141</v>
      </c>
      <c r="F243" s="778" t="s">
        <v>200</v>
      </c>
      <c r="G243" s="779" t="s">
        <v>98</v>
      </c>
      <c r="H243" s="779" t="s">
        <v>96</v>
      </c>
      <c r="I243" s="780" t="s">
        <v>97</v>
      </c>
      <c r="J243" s="139"/>
      <c r="K243" s="151">
        <f>K244+K247+K252</f>
        <v>3999.2000000000003</v>
      </c>
      <c r="L243" s="151">
        <f>L244+L247+L252</f>
        <v>0</v>
      </c>
      <c r="M243" s="151">
        <f>M244+M247+M252</f>
        <v>3999.2000000000003</v>
      </c>
    </row>
    <row r="244" spans="1:13" ht="37.5" hidden="1">
      <c r="A244" s="140"/>
      <c r="B244" s="149" t="s">
        <v>201</v>
      </c>
      <c r="C244" s="150" t="s">
        <v>197</v>
      </c>
      <c r="D244" s="139" t="s">
        <v>90</v>
      </c>
      <c r="E244" s="139" t="s">
        <v>141</v>
      </c>
      <c r="F244" s="778" t="s">
        <v>200</v>
      </c>
      <c r="G244" s="779" t="s">
        <v>98</v>
      </c>
      <c r="H244" s="779" t="s">
        <v>90</v>
      </c>
      <c r="I244" s="780" t="s">
        <v>97</v>
      </c>
      <c r="J244" s="139"/>
      <c r="K244" s="151">
        <f t="shared" ref="K244:M245" si="59">K245</f>
        <v>1182.7</v>
      </c>
      <c r="L244" s="151">
        <f t="shared" si="59"/>
        <v>0</v>
      </c>
      <c r="M244" s="151">
        <f t="shared" si="59"/>
        <v>1182.7</v>
      </c>
    </row>
    <row r="245" spans="1:13" ht="37.5" hidden="1">
      <c r="A245" s="140"/>
      <c r="B245" s="149" t="s">
        <v>100</v>
      </c>
      <c r="C245" s="150" t="s">
        <v>197</v>
      </c>
      <c r="D245" s="139" t="s">
        <v>90</v>
      </c>
      <c r="E245" s="139" t="s">
        <v>141</v>
      </c>
      <c r="F245" s="778" t="s">
        <v>200</v>
      </c>
      <c r="G245" s="779" t="s">
        <v>98</v>
      </c>
      <c r="H245" s="779" t="s">
        <v>90</v>
      </c>
      <c r="I245" s="780" t="s">
        <v>101</v>
      </c>
      <c r="J245" s="139"/>
      <c r="K245" s="151">
        <f t="shared" si="59"/>
        <v>1182.7</v>
      </c>
      <c r="L245" s="151">
        <f t="shared" si="59"/>
        <v>0</v>
      </c>
      <c r="M245" s="151">
        <f t="shared" si="59"/>
        <v>1182.7</v>
      </c>
    </row>
    <row r="246" spans="1:13" ht="94.15" hidden="1" customHeight="1">
      <c r="A246" s="140"/>
      <c r="B246" s="725" t="s">
        <v>102</v>
      </c>
      <c r="C246" s="150" t="s">
        <v>197</v>
      </c>
      <c r="D246" s="139" t="s">
        <v>90</v>
      </c>
      <c r="E246" s="139" t="s">
        <v>141</v>
      </c>
      <c r="F246" s="778" t="s">
        <v>200</v>
      </c>
      <c r="G246" s="779" t="s">
        <v>98</v>
      </c>
      <c r="H246" s="779" t="s">
        <v>90</v>
      </c>
      <c r="I246" s="780" t="s">
        <v>101</v>
      </c>
      <c r="J246" s="139" t="s">
        <v>103</v>
      </c>
      <c r="K246" s="151">
        <v>1182.7</v>
      </c>
      <c r="L246" s="151">
        <f>M246-K246</f>
        <v>0</v>
      </c>
      <c r="M246" s="151">
        <v>1182.7</v>
      </c>
    </row>
    <row r="247" spans="1:13" ht="37.5" hidden="1">
      <c r="A247" s="140"/>
      <c r="B247" s="149" t="s">
        <v>203</v>
      </c>
      <c r="C247" s="150" t="s">
        <v>197</v>
      </c>
      <c r="D247" s="139" t="s">
        <v>90</v>
      </c>
      <c r="E247" s="139" t="s">
        <v>141</v>
      </c>
      <c r="F247" s="778" t="s">
        <v>200</v>
      </c>
      <c r="G247" s="779" t="s">
        <v>98</v>
      </c>
      <c r="H247" s="779" t="s">
        <v>92</v>
      </c>
      <c r="I247" s="780" t="s">
        <v>97</v>
      </c>
      <c r="J247" s="139"/>
      <c r="K247" s="151">
        <f>K248</f>
        <v>1952.9</v>
      </c>
      <c r="L247" s="151">
        <f>L248</f>
        <v>0</v>
      </c>
      <c r="M247" s="151">
        <f>M248</f>
        <v>1952.9</v>
      </c>
    </row>
    <row r="248" spans="1:13" ht="37.5" hidden="1">
      <c r="A248" s="140"/>
      <c r="B248" s="149" t="s">
        <v>100</v>
      </c>
      <c r="C248" s="150" t="s">
        <v>197</v>
      </c>
      <c r="D248" s="139" t="s">
        <v>90</v>
      </c>
      <c r="E248" s="139" t="s">
        <v>141</v>
      </c>
      <c r="F248" s="778" t="s">
        <v>200</v>
      </c>
      <c r="G248" s="779" t="s">
        <v>98</v>
      </c>
      <c r="H248" s="779" t="s">
        <v>92</v>
      </c>
      <c r="I248" s="780" t="s">
        <v>101</v>
      </c>
      <c r="J248" s="139"/>
      <c r="K248" s="151">
        <f>K249+K250+K251</f>
        <v>1952.9</v>
      </c>
      <c r="L248" s="151">
        <f>L249+L250+L251</f>
        <v>0</v>
      </c>
      <c r="M248" s="151">
        <f>M249+M250+M251</f>
        <v>1952.9</v>
      </c>
    </row>
    <row r="249" spans="1:13" ht="97.15" hidden="1" customHeight="1">
      <c r="A249" s="140"/>
      <c r="B249" s="724" t="s">
        <v>102</v>
      </c>
      <c r="C249" s="150" t="s">
        <v>197</v>
      </c>
      <c r="D249" s="139" t="s">
        <v>90</v>
      </c>
      <c r="E249" s="139" t="s">
        <v>141</v>
      </c>
      <c r="F249" s="778" t="s">
        <v>200</v>
      </c>
      <c r="G249" s="779" t="s">
        <v>98</v>
      </c>
      <c r="H249" s="779" t="s">
        <v>92</v>
      </c>
      <c r="I249" s="780" t="s">
        <v>101</v>
      </c>
      <c r="J249" s="139" t="s">
        <v>103</v>
      </c>
      <c r="K249" s="151">
        <f>1752.9+6.177</f>
        <v>1759.077</v>
      </c>
      <c r="L249" s="151">
        <f t="shared" ref="L249:L251" si="60">M249-K249</f>
        <v>0</v>
      </c>
      <c r="M249" s="151">
        <f>1752.9+6.177</f>
        <v>1759.077</v>
      </c>
    </row>
    <row r="250" spans="1:13" ht="55.15" hidden="1" customHeight="1">
      <c r="A250" s="140"/>
      <c r="B250" s="724" t="s">
        <v>108</v>
      </c>
      <c r="C250" s="150" t="s">
        <v>197</v>
      </c>
      <c r="D250" s="139" t="s">
        <v>90</v>
      </c>
      <c r="E250" s="139" t="s">
        <v>141</v>
      </c>
      <c r="F250" s="778" t="s">
        <v>200</v>
      </c>
      <c r="G250" s="779" t="s">
        <v>98</v>
      </c>
      <c r="H250" s="779" t="s">
        <v>92</v>
      </c>
      <c r="I250" s="780" t="s">
        <v>101</v>
      </c>
      <c r="J250" s="139" t="s">
        <v>109</v>
      </c>
      <c r="K250" s="151">
        <f>186.7+3.3-6.177</f>
        <v>183.82300000000001</v>
      </c>
      <c r="L250" s="151">
        <f t="shared" si="60"/>
        <v>0</v>
      </c>
      <c r="M250" s="151">
        <f>186.7+3.3-6.177</f>
        <v>183.82300000000001</v>
      </c>
    </row>
    <row r="251" spans="1:13" ht="18.75" hidden="1">
      <c r="A251" s="140"/>
      <c r="B251" s="149" t="s">
        <v>110</v>
      </c>
      <c r="C251" s="150" t="s">
        <v>197</v>
      </c>
      <c r="D251" s="139" t="s">
        <v>90</v>
      </c>
      <c r="E251" s="139" t="s">
        <v>141</v>
      </c>
      <c r="F251" s="778" t="s">
        <v>200</v>
      </c>
      <c r="G251" s="779" t="s">
        <v>98</v>
      </c>
      <c r="H251" s="779" t="s">
        <v>92</v>
      </c>
      <c r="I251" s="780" t="s">
        <v>101</v>
      </c>
      <c r="J251" s="139" t="s">
        <v>111</v>
      </c>
      <c r="K251" s="151">
        <v>10</v>
      </c>
      <c r="L251" s="151">
        <f t="shared" si="60"/>
        <v>0</v>
      </c>
      <c r="M251" s="151">
        <v>10</v>
      </c>
    </row>
    <row r="252" spans="1:13" ht="75" hidden="1">
      <c r="A252" s="140"/>
      <c r="B252" s="149" t="s">
        <v>465</v>
      </c>
      <c r="C252" s="150" t="s">
        <v>197</v>
      </c>
      <c r="D252" s="139" t="s">
        <v>90</v>
      </c>
      <c r="E252" s="139" t="s">
        <v>141</v>
      </c>
      <c r="F252" s="778" t="s">
        <v>200</v>
      </c>
      <c r="G252" s="779" t="s">
        <v>98</v>
      </c>
      <c r="H252" s="779" t="s">
        <v>119</v>
      </c>
      <c r="I252" s="780" t="s">
        <v>97</v>
      </c>
      <c r="J252" s="139"/>
      <c r="K252" s="151">
        <f t="shared" ref="K252:M253" si="61">K253</f>
        <v>863.6</v>
      </c>
      <c r="L252" s="151">
        <f t="shared" si="61"/>
        <v>0</v>
      </c>
      <c r="M252" s="151">
        <f t="shared" si="61"/>
        <v>863.6</v>
      </c>
    </row>
    <row r="253" spans="1:13" ht="37.5" hidden="1">
      <c r="A253" s="140"/>
      <c r="B253" s="149" t="s">
        <v>316</v>
      </c>
      <c r="C253" s="150" t="s">
        <v>197</v>
      </c>
      <c r="D253" s="139" t="s">
        <v>90</v>
      </c>
      <c r="E253" s="139" t="s">
        <v>141</v>
      </c>
      <c r="F253" s="778" t="s">
        <v>200</v>
      </c>
      <c r="G253" s="779" t="s">
        <v>98</v>
      </c>
      <c r="H253" s="779" t="s">
        <v>119</v>
      </c>
      <c r="I253" s="780" t="s">
        <v>204</v>
      </c>
      <c r="J253" s="139"/>
      <c r="K253" s="151">
        <f t="shared" si="61"/>
        <v>863.6</v>
      </c>
      <c r="L253" s="151">
        <f t="shared" si="61"/>
        <v>0</v>
      </c>
      <c r="M253" s="151">
        <f t="shared" si="61"/>
        <v>863.6</v>
      </c>
    </row>
    <row r="254" spans="1:13" ht="94.9" hidden="1" customHeight="1">
      <c r="A254" s="140"/>
      <c r="B254" s="724" t="s">
        <v>102</v>
      </c>
      <c r="C254" s="150" t="s">
        <v>197</v>
      </c>
      <c r="D254" s="139" t="s">
        <v>90</v>
      </c>
      <c r="E254" s="139" t="s">
        <v>141</v>
      </c>
      <c r="F254" s="778" t="s">
        <v>200</v>
      </c>
      <c r="G254" s="779" t="s">
        <v>98</v>
      </c>
      <c r="H254" s="779" t="s">
        <v>119</v>
      </c>
      <c r="I254" s="780" t="s">
        <v>204</v>
      </c>
      <c r="J254" s="139" t="s">
        <v>103</v>
      </c>
      <c r="K254" s="151">
        <v>863.6</v>
      </c>
      <c r="L254" s="151">
        <f>M254-K254</f>
        <v>0</v>
      </c>
      <c r="M254" s="151">
        <v>863.6</v>
      </c>
    </row>
    <row r="255" spans="1:13" ht="18.75" hidden="1">
      <c r="A255" s="140"/>
      <c r="B255" s="149"/>
      <c r="C255" s="150"/>
      <c r="D255" s="139"/>
      <c r="E255" s="139"/>
      <c r="F255" s="778"/>
      <c r="G255" s="779"/>
      <c r="H255" s="779"/>
      <c r="I255" s="780"/>
      <c r="J255" s="139"/>
      <c r="K255" s="151"/>
      <c r="L255" s="151"/>
      <c r="M255" s="151"/>
    </row>
    <row r="256" spans="1:13" s="162" customFormat="1" ht="56.25" hidden="1">
      <c r="A256" s="628">
        <v>4</v>
      </c>
      <c r="B256" s="629" t="s">
        <v>36</v>
      </c>
      <c r="C256" s="630" t="s">
        <v>417</v>
      </c>
      <c r="D256" s="631"/>
      <c r="E256" s="631"/>
      <c r="F256" s="632"/>
      <c r="G256" s="633"/>
      <c r="H256" s="633"/>
      <c r="I256" s="634"/>
      <c r="J256" s="631"/>
      <c r="K256" s="635">
        <f>K257+K308+K335+K301+K342+K322+K351</f>
        <v>140879.29999999999</v>
      </c>
      <c r="L256" s="635">
        <f>L257+L308+L335+L301+L342+L322+L351</f>
        <v>4466.9049999999997</v>
      </c>
      <c r="M256" s="635">
        <f>M257+M308+M335+M301+M342+M322+M351</f>
        <v>145346.20500000002</v>
      </c>
    </row>
    <row r="257" spans="1:13" s="169" customFormat="1" ht="18.75" hidden="1">
      <c r="A257" s="163"/>
      <c r="B257" s="159" t="s">
        <v>89</v>
      </c>
      <c r="C257" s="164" t="s">
        <v>417</v>
      </c>
      <c r="D257" s="165" t="s">
        <v>90</v>
      </c>
      <c r="E257" s="166"/>
      <c r="F257" s="636"/>
      <c r="G257" s="167"/>
      <c r="H257" s="167"/>
      <c r="I257" s="168"/>
      <c r="J257" s="166"/>
      <c r="K257" s="626">
        <f t="shared" ref="K257:M257" si="62">K258</f>
        <v>35570.929000000004</v>
      </c>
      <c r="L257" s="626">
        <f t="shared" si="62"/>
        <v>5966.9049999999997</v>
      </c>
      <c r="M257" s="626">
        <f t="shared" si="62"/>
        <v>41537.833999999995</v>
      </c>
    </row>
    <row r="258" spans="1:13" s="170" customFormat="1" ht="18.75" hidden="1">
      <c r="A258" s="163"/>
      <c r="B258" s="159" t="s">
        <v>129</v>
      </c>
      <c r="C258" s="164" t="s">
        <v>417</v>
      </c>
      <c r="D258" s="165" t="s">
        <v>90</v>
      </c>
      <c r="E258" s="165" t="s">
        <v>130</v>
      </c>
      <c r="F258" s="636"/>
      <c r="G258" s="167"/>
      <c r="H258" s="167"/>
      <c r="I258" s="168"/>
      <c r="J258" s="166"/>
      <c r="K258" s="626">
        <f>K259+K294</f>
        <v>35570.929000000004</v>
      </c>
      <c r="L258" s="626">
        <f>L259+L294</f>
        <v>5966.9049999999997</v>
      </c>
      <c r="M258" s="626">
        <f>M259+M294</f>
        <v>41537.833999999995</v>
      </c>
    </row>
    <row r="259" spans="1:13" s="169" customFormat="1" ht="56.25" hidden="1">
      <c r="A259" s="163"/>
      <c r="B259" s="159" t="s">
        <v>305</v>
      </c>
      <c r="C259" s="164" t="s">
        <v>417</v>
      </c>
      <c r="D259" s="165" t="s">
        <v>90</v>
      </c>
      <c r="E259" s="165" t="s">
        <v>130</v>
      </c>
      <c r="F259" s="175" t="s">
        <v>306</v>
      </c>
      <c r="G259" s="167" t="s">
        <v>95</v>
      </c>
      <c r="H259" s="167" t="s">
        <v>96</v>
      </c>
      <c r="I259" s="168" t="s">
        <v>97</v>
      </c>
      <c r="J259" s="166"/>
      <c r="K259" s="626">
        <f>K260+K270+K290</f>
        <v>29934.429</v>
      </c>
      <c r="L259" s="626">
        <f>L260+L270+L290</f>
        <v>6460.2049999999999</v>
      </c>
      <c r="M259" s="626">
        <f>M260+M270+M290</f>
        <v>36394.633999999998</v>
      </c>
    </row>
    <row r="260" spans="1:13" s="169" customFormat="1" ht="56.25" hidden="1">
      <c r="A260" s="163"/>
      <c r="B260" s="159" t="s">
        <v>307</v>
      </c>
      <c r="C260" s="164" t="s">
        <v>417</v>
      </c>
      <c r="D260" s="165" t="s">
        <v>90</v>
      </c>
      <c r="E260" s="165" t="s">
        <v>130</v>
      </c>
      <c r="F260" s="637" t="s">
        <v>306</v>
      </c>
      <c r="G260" s="172" t="s">
        <v>98</v>
      </c>
      <c r="H260" s="172" t="s">
        <v>96</v>
      </c>
      <c r="I260" s="173" t="s">
        <v>97</v>
      </c>
      <c r="J260" s="166"/>
      <c r="K260" s="626">
        <f t="shared" ref="K260" si="63">K261+K264</f>
        <v>12863.956999999999</v>
      </c>
      <c r="L260" s="626">
        <f t="shared" ref="L260:M260" si="64">L261+L264</f>
        <v>520.8999999999993</v>
      </c>
      <c r="M260" s="626">
        <f t="shared" si="64"/>
        <v>13384.856999999998</v>
      </c>
    </row>
    <row r="261" spans="1:13" s="176" customFormat="1" ht="112.5" hidden="1">
      <c r="A261" s="163"/>
      <c r="B261" s="159" t="s">
        <v>418</v>
      </c>
      <c r="C261" s="164" t="s">
        <v>417</v>
      </c>
      <c r="D261" s="165" t="s">
        <v>90</v>
      </c>
      <c r="E261" s="165" t="s">
        <v>130</v>
      </c>
      <c r="F261" s="174" t="s">
        <v>306</v>
      </c>
      <c r="G261" s="167" t="s">
        <v>98</v>
      </c>
      <c r="H261" s="167" t="s">
        <v>90</v>
      </c>
      <c r="I261" s="168" t="s">
        <v>97</v>
      </c>
      <c r="J261" s="166"/>
      <c r="K261" s="626">
        <f t="shared" ref="K261:M262" si="65">K262</f>
        <v>320.85699999999997</v>
      </c>
      <c r="L261" s="626">
        <f t="shared" si="65"/>
        <v>0</v>
      </c>
      <c r="M261" s="626">
        <f t="shared" si="65"/>
        <v>320.85699999999997</v>
      </c>
    </row>
    <row r="262" spans="1:13" s="176" customFormat="1" ht="56.25" hidden="1">
      <c r="A262" s="163"/>
      <c r="B262" s="159" t="s">
        <v>308</v>
      </c>
      <c r="C262" s="164" t="s">
        <v>417</v>
      </c>
      <c r="D262" s="165" t="s">
        <v>90</v>
      </c>
      <c r="E262" s="165" t="s">
        <v>130</v>
      </c>
      <c r="F262" s="174" t="s">
        <v>306</v>
      </c>
      <c r="G262" s="167" t="s">
        <v>98</v>
      </c>
      <c r="H262" s="167" t="s">
        <v>90</v>
      </c>
      <c r="I262" s="168" t="s">
        <v>419</v>
      </c>
      <c r="J262" s="166"/>
      <c r="K262" s="626">
        <f t="shared" si="65"/>
        <v>320.85699999999997</v>
      </c>
      <c r="L262" s="626">
        <f t="shared" si="65"/>
        <v>0</v>
      </c>
      <c r="M262" s="626">
        <f t="shared" si="65"/>
        <v>320.85699999999997</v>
      </c>
    </row>
    <row r="263" spans="1:13" s="170" customFormat="1" ht="56.25" hidden="1">
      <c r="A263" s="163"/>
      <c r="B263" s="149" t="s">
        <v>108</v>
      </c>
      <c r="C263" s="164" t="s">
        <v>417</v>
      </c>
      <c r="D263" s="165" t="s">
        <v>90</v>
      </c>
      <c r="E263" s="165" t="s">
        <v>130</v>
      </c>
      <c r="F263" s="174" t="s">
        <v>306</v>
      </c>
      <c r="G263" s="167" t="s">
        <v>98</v>
      </c>
      <c r="H263" s="167" t="s">
        <v>90</v>
      </c>
      <c r="I263" s="168" t="s">
        <v>419</v>
      </c>
      <c r="J263" s="166" t="s">
        <v>109</v>
      </c>
      <c r="K263" s="626">
        <f>334.2-13.343</f>
        <v>320.85699999999997</v>
      </c>
      <c r="L263" s="151">
        <f>M263-K263</f>
        <v>0</v>
      </c>
      <c r="M263" s="626">
        <f>334.2-13.343</f>
        <v>320.85699999999997</v>
      </c>
    </row>
    <row r="264" spans="1:13" s="170" customFormat="1" ht="37.5" hidden="1">
      <c r="A264" s="163"/>
      <c r="B264" s="149" t="s">
        <v>490</v>
      </c>
      <c r="C264" s="164" t="s">
        <v>417</v>
      </c>
      <c r="D264" s="165" t="s">
        <v>90</v>
      </c>
      <c r="E264" s="165" t="s">
        <v>130</v>
      </c>
      <c r="F264" s="174" t="s">
        <v>306</v>
      </c>
      <c r="G264" s="167" t="s">
        <v>98</v>
      </c>
      <c r="H264" s="167" t="s">
        <v>92</v>
      </c>
      <c r="I264" s="168" t="s">
        <v>97</v>
      </c>
      <c r="J264" s="166"/>
      <c r="K264" s="626">
        <f>K265+K268</f>
        <v>12543.099999999999</v>
      </c>
      <c r="L264" s="626">
        <f>L265+L268</f>
        <v>520.8999999999993</v>
      </c>
      <c r="M264" s="626">
        <f>M265+M268</f>
        <v>13063.999999999998</v>
      </c>
    </row>
    <row r="265" spans="1:13" s="170" customFormat="1" ht="37.5" hidden="1">
      <c r="A265" s="163"/>
      <c r="B265" s="149" t="s">
        <v>489</v>
      </c>
      <c r="C265" s="164" t="s">
        <v>417</v>
      </c>
      <c r="D265" s="165" t="s">
        <v>90</v>
      </c>
      <c r="E265" s="165" t="s">
        <v>130</v>
      </c>
      <c r="F265" s="174" t="s">
        <v>306</v>
      </c>
      <c r="G265" s="167" t="s">
        <v>98</v>
      </c>
      <c r="H265" s="167" t="s">
        <v>92</v>
      </c>
      <c r="I265" s="168" t="s">
        <v>488</v>
      </c>
      <c r="J265" s="166"/>
      <c r="K265" s="626">
        <f>SUM(K266:K267)</f>
        <v>12543.099999999999</v>
      </c>
      <c r="L265" s="626">
        <f>SUM(L266:L267)</f>
        <v>316.79999999999927</v>
      </c>
      <c r="M265" s="626">
        <f>SUM(M266:M267)</f>
        <v>12859.899999999998</v>
      </c>
    </row>
    <row r="266" spans="1:13" s="170" customFormat="1" ht="51.6" hidden="1" customHeight="1">
      <c r="A266" s="163"/>
      <c r="B266" s="724" t="s">
        <v>108</v>
      </c>
      <c r="C266" s="164" t="s">
        <v>417</v>
      </c>
      <c r="D266" s="165" t="s">
        <v>90</v>
      </c>
      <c r="E266" s="165" t="s">
        <v>130</v>
      </c>
      <c r="F266" s="174" t="s">
        <v>306</v>
      </c>
      <c r="G266" s="167" t="s">
        <v>98</v>
      </c>
      <c r="H266" s="167" t="s">
        <v>92</v>
      </c>
      <c r="I266" s="168" t="s">
        <v>488</v>
      </c>
      <c r="J266" s="166" t="s">
        <v>109</v>
      </c>
      <c r="K266" s="626">
        <f>1202.1-911.4+2151+184.2+6.5+14.8+1539.062-71.1</f>
        <v>4115.1619999999994</v>
      </c>
      <c r="L266" s="151">
        <f>M266-K266</f>
        <v>0</v>
      </c>
      <c r="M266" s="626">
        <f>1202.1-911.4+2151+184.2+6.5+14.8+1539.062-71.1</f>
        <v>4115.1619999999994</v>
      </c>
    </row>
    <row r="267" spans="1:13" s="170" customFormat="1" ht="56.25" hidden="1">
      <c r="A267" s="163"/>
      <c r="B267" s="149" t="s">
        <v>282</v>
      </c>
      <c r="C267" s="164" t="s">
        <v>417</v>
      </c>
      <c r="D267" s="165" t="s">
        <v>90</v>
      </c>
      <c r="E267" s="165" t="s">
        <v>130</v>
      </c>
      <c r="F267" s="174" t="s">
        <v>306</v>
      </c>
      <c r="G267" s="167" t="s">
        <v>98</v>
      </c>
      <c r="H267" s="167" t="s">
        <v>92</v>
      </c>
      <c r="I267" s="168" t="s">
        <v>488</v>
      </c>
      <c r="J267" s="166" t="s">
        <v>283</v>
      </c>
      <c r="K267" s="626">
        <f>1483.2+944.738+6000</f>
        <v>8427.9380000000001</v>
      </c>
      <c r="L267" s="151">
        <f>M267-K267</f>
        <v>316.79999999999927</v>
      </c>
      <c r="M267" s="781">
        <f>1483.2+944.738+6000+316.8</f>
        <v>8744.7379999999994</v>
      </c>
    </row>
    <row r="268" spans="1:13" s="170" customFormat="1" ht="18.75" hidden="1">
      <c r="A268" s="163"/>
      <c r="B268" s="791" t="s">
        <v>127</v>
      </c>
      <c r="C268" s="793" t="s">
        <v>417</v>
      </c>
      <c r="D268" s="794" t="s">
        <v>90</v>
      </c>
      <c r="E268" s="794" t="s">
        <v>130</v>
      </c>
      <c r="F268" s="806" t="s">
        <v>306</v>
      </c>
      <c r="G268" s="796" t="s">
        <v>98</v>
      </c>
      <c r="H268" s="796" t="s">
        <v>92</v>
      </c>
      <c r="I268" s="797" t="s">
        <v>128</v>
      </c>
      <c r="J268" s="798"/>
      <c r="K268" s="799">
        <f>K269</f>
        <v>0</v>
      </c>
      <c r="L268" s="706">
        <f>L269</f>
        <v>204.1</v>
      </c>
      <c r="M268" s="799">
        <f>M269</f>
        <v>204.1</v>
      </c>
    </row>
    <row r="269" spans="1:13" s="170" customFormat="1" ht="59.45" hidden="1" customHeight="1">
      <c r="A269" s="163"/>
      <c r="B269" s="791" t="s">
        <v>108</v>
      </c>
      <c r="C269" s="793" t="s">
        <v>417</v>
      </c>
      <c r="D269" s="794" t="s">
        <v>90</v>
      </c>
      <c r="E269" s="794" t="s">
        <v>130</v>
      </c>
      <c r="F269" s="806" t="s">
        <v>306</v>
      </c>
      <c r="G269" s="796" t="s">
        <v>98</v>
      </c>
      <c r="H269" s="796" t="s">
        <v>92</v>
      </c>
      <c r="I269" s="797" t="s">
        <v>128</v>
      </c>
      <c r="J269" s="798" t="s">
        <v>109</v>
      </c>
      <c r="K269" s="799">
        <v>0</v>
      </c>
      <c r="L269" s="706">
        <f>M269-K269</f>
        <v>204.1</v>
      </c>
      <c r="M269" s="799">
        <v>204.1</v>
      </c>
    </row>
    <row r="270" spans="1:13" s="170" customFormat="1" ht="37.5" hidden="1">
      <c r="A270" s="163"/>
      <c r="B270" s="159" t="s">
        <v>309</v>
      </c>
      <c r="C270" s="164" t="s">
        <v>417</v>
      </c>
      <c r="D270" s="165" t="s">
        <v>90</v>
      </c>
      <c r="E270" s="165" t="s">
        <v>130</v>
      </c>
      <c r="F270" s="175" t="s">
        <v>306</v>
      </c>
      <c r="G270" s="167" t="s">
        <v>150</v>
      </c>
      <c r="H270" s="167" t="s">
        <v>96</v>
      </c>
      <c r="I270" s="168" t="s">
        <v>97</v>
      </c>
      <c r="J270" s="166"/>
      <c r="K270" s="626">
        <f t="shared" ref="K270" si="66">K271+K282+K285</f>
        <v>17070.472000000002</v>
      </c>
      <c r="L270" s="626">
        <f t="shared" ref="L270:M270" si="67">L271+L282+L285</f>
        <v>2387.9</v>
      </c>
      <c r="M270" s="626">
        <f t="shared" si="67"/>
        <v>19458.371999999999</v>
      </c>
    </row>
    <row r="271" spans="1:13" s="176" customFormat="1" ht="93.75" hidden="1">
      <c r="A271" s="163"/>
      <c r="B271" s="159" t="s">
        <v>424</v>
      </c>
      <c r="C271" s="164" t="s">
        <v>417</v>
      </c>
      <c r="D271" s="165" t="s">
        <v>90</v>
      </c>
      <c r="E271" s="165" t="s">
        <v>130</v>
      </c>
      <c r="F271" s="175" t="s">
        <v>306</v>
      </c>
      <c r="G271" s="167" t="s">
        <v>150</v>
      </c>
      <c r="H271" s="167" t="s">
        <v>90</v>
      </c>
      <c r="I271" s="168" t="s">
        <v>97</v>
      </c>
      <c r="J271" s="166"/>
      <c r="K271" s="626">
        <f t="shared" ref="K271" si="68">K272+K276+K280</f>
        <v>16779.5</v>
      </c>
      <c r="L271" s="626">
        <f t="shared" ref="L271:M271" si="69">L272+L276+L280</f>
        <v>275.39999999999998</v>
      </c>
      <c r="M271" s="626">
        <f t="shared" si="69"/>
        <v>17054.899999999998</v>
      </c>
    </row>
    <row r="272" spans="1:13" s="170" customFormat="1" ht="37.5" hidden="1">
      <c r="A272" s="163"/>
      <c r="B272" s="159" t="s">
        <v>100</v>
      </c>
      <c r="C272" s="164" t="s">
        <v>417</v>
      </c>
      <c r="D272" s="165" t="s">
        <v>90</v>
      </c>
      <c r="E272" s="165" t="s">
        <v>130</v>
      </c>
      <c r="F272" s="171" t="s">
        <v>306</v>
      </c>
      <c r="G272" s="172" t="s">
        <v>150</v>
      </c>
      <c r="H272" s="172" t="s">
        <v>90</v>
      </c>
      <c r="I272" s="173" t="s">
        <v>101</v>
      </c>
      <c r="J272" s="166"/>
      <c r="K272" s="626">
        <f t="shared" ref="K272" si="70">K273+K274+K275</f>
        <v>12457.300000000001</v>
      </c>
      <c r="L272" s="626">
        <f>L273+L274+L275</f>
        <v>18.899999999999977</v>
      </c>
      <c r="M272" s="626">
        <f t="shared" ref="M272" si="71">M273+M274+M275</f>
        <v>12476.2</v>
      </c>
    </row>
    <row r="273" spans="1:13" s="169" customFormat="1" ht="95.45" hidden="1" customHeight="1">
      <c r="A273" s="163"/>
      <c r="B273" s="726" t="s">
        <v>102</v>
      </c>
      <c r="C273" s="164" t="s">
        <v>417</v>
      </c>
      <c r="D273" s="165" t="s">
        <v>90</v>
      </c>
      <c r="E273" s="165" t="s">
        <v>130</v>
      </c>
      <c r="F273" s="175" t="s">
        <v>306</v>
      </c>
      <c r="G273" s="167" t="s">
        <v>150</v>
      </c>
      <c r="H273" s="167" t="s">
        <v>90</v>
      </c>
      <c r="I273" s="168" t="s">
        <v>101</v>
      </c>
      <c r="J273" s="166" t="s">
        <v>103</v>
      </c>
      <c r="K273" s="626">
        <v>11789.1</v>
      </c>
      <c r="L273" s="151">
        <f>M273-K273</f>
        <v>0</v>
      </c>
      <c r="M273" s="626">
        <v>11789.1</v>
      </c>
    </row>
    <row r="274" spans="1:13" s="169" customFormat="1" ht="54" hidden="1" customHeight="1">
      <c r="A274" s="163"/>
      <c r="B274" s="791" t="s">
        <v>108</v>
      </c>
      <c r="C274" s="793" t="s">
        <v>417</v>
      </c>
      <c r="D274" s="794" t="s">
        <v>90</v>
      </c>
      <c r="E274" s="794" t="s">
        <v>130</v>
      </c>
      <c r="F274" s="795" t="s">
        <v>306</v>
      </c>
      <c r="G274" s="796" t="s">
        <v>150</v>
      </c>
      <c r="H274" s="796" t="s">
        <v>90</v>
      </c>
      <c r="I274" s="797" t="s">
        <v>101</v>
      </c>
      <c r="J274" s="798" t="s">
        <v>109</v>
      </c>
      <c r="K274" s="799">
        <f>491+67.7+14.8+60.8+2.7+30</f>
        <v>667</v>
      </c>
      <c r="L274" s="706">
        <f>M274-K274</f>
        <v>18.899999999999977</v>
      </c>
      <c r="M274" s="799">
        <f>491+67.7+14.8+60.8+2.7+30+18.9</f>
        <v>685.9</v>
      </c>
    </row>
    <row r="275" spans="1:13" s="169" customFormat="1" ht="18.75" hidden="1">
      <c r="A275" s="163"/>
      <c r="B275" s="159" t="s">
        <v>110</v>
      </c>
      <c r="C275" s="164" t="s">
        <v>417</v>
      </c>
      <c r="D275" s="165" t="s">
        <v>90</v>
      </c>
      <c r="E275" s="165" t="s">
        <v>130</v>
      </c>
      <c r="F275" s="175" t="s">
        <v>306</v>
      </c>
      <c r="G275" s="167" t="s">
        <v>150</v>
      </c>
      <c r="H275" s="167" t="s">
        <v>90</v>
      </c>
      <c r="I275" s="168" t="s">
        <v>101</v>
      </c>
      <c r="J275" s="166" t="s">
        <v>111</v>
      </c>
      <c r="K275" s="626">
        <v>1.2</v>
      </c>
      <c r="L275" s="151">
        <f>M275-K275</f>
        <v>0</v>
      </c>
      <c r="M275" s="626">
        <v>1.2</v>
      </c>
    </row>
    <row r="276" spans="1:13" s="169" customFormat="1" ht="76.150000000000006" hidden="1" customHeight="1">
      <c r="A276" s="163"/>
      <c r="B276" s="726" t="s">
        <v>151</v>
      </c>
      <c r="C276" s="164" t="s">
        <v>417</v>
      </c>
      <c r="D276" s="165" t="s">
        <v>90</v>
      </c>
      <c r="E276" s="165" t="s">
        <v>130</v>
      </c>
      <c r="F276" s="175" t="s">
        <v>306</v>
      </c>
      <c r="G276" s="167" t="s">
        <v>150</v>
      </c>
      <c r="H276" s="167" t="s">
        <v>90</v>
      </c>
      <c r="I276" s="168" t="s">
        <v>153</v>
      </c>
      <c r="J276" s="166"/>
      <c r="K276" s="626">
        <f t="shared" ref="K276" si="72">K277+K278+K279</f>
        <v>4288.3999999999996</v>
      </c>
      <c r="L276" s="626">
        <f t="shared" ref="L276:M276" si="73">L277+L278+L279</f>
        <v>256.5</v>
      </c>
      <c r="M276" s="626">
        <f t="shared" si="73"/>
        <v>4544.8999999999996</v>
      </c>
    </row>
    <row r="277" spans="1:13" s="169" customFormat="1" ht="56.45" hidden="1" customHeight="1">
      <c r="A277" s="163"/>
      <c r="B277" s="800" t="s">
        <v>102</v>
      </c>
      <c r="C277" s="793" t="s">
        <v>417</v>
      </c>
      <c r="D277" s="794" t="s">
        <v>90</v>
      </c>
      <c r="E277" s="794" t="s">
        <v>130</v>
      </c>
      <c r="F277" s="795" t="s">
        <v>306</v>
      </c>
      <c r="G277" s="796" t="s">
        <v>150</v>
      </c>
      <c r="H277" s="796" t="s">
        <v>90</v>
      </c>
      <c r="I277" s="797" t="s">
        <v>153</v>
      </c>
      <c r="J277" s="798" t="s">
        <v>103</v>
      </c>
      <c r="K277" s="799">
        <v>4014.3</v>
      </c>
      <c r="L277" s="706">
        <f t="shared" ref="L277:L279" si="74">M277-K277</f>
        <v>256.5</v>
      </c>
      <c r="M277" s="799">
        <f>4014.3+256.5</f>
        <v>4270.8</v>
      </c>
    </row>
    <row r="278" spans="1:13" s="169" customFormat="1" ht="57.6" hidden="1" customHeight="1">
      <c r="A278" s="163"/>
      <c r="B278" s="724" t="s">
        <v>108</v>
      </c>
      <c r="C278" s="164" t="s">
        <v>417</v>
      </c>
      <c r="D278" s="165" t="s">
        <v>90</v>
      </c>
      <c r="E278" s="165" t="s">
        <v>130</v>
      </c>
      <c r="F278" s="171" t="s">
        <v>306</v>
      </c>
      <c r="G278" s="172" t="s">
        <v>150</v>
      </c>
      <c r="H278" s="172" t="s">
        <v>90</v>
      </c>
      <c r="I278" s="173" t="s">
        <v>153</v>
      </c>
      <c r="J278" s="166" t="s">
        <v>109</v>
      </c>
      <c r="K278" s="626">
        <v>246.7</v>
      </c>
      <c r="L278" s="151">
        <f t="shared" si="74"/>
        <v>0</v>
      </c>
      <c r="M278" s="626">
        <v>246.7</v>
      </c>
    </row>
    <row r="279" spans="1:13" s="169" customFormat="1" ht="18.75" hidden="1">
      <c r="A279" s="163"/>
      <c r="B279" s="159" t="s">
        <v>110</v>
      </c>
      <c r="C279" s="164" t="s">
        <v>417</v>
      </c>
      <c r="D279" s="165" t="s">
        <v>90</v>
      </c>
      <c r="E279" s="165" t="s">
        <v>130</v>
      </c>
      <c r="F279" s="175" t="s">
        <v>306</v>
      </c>
      <c r="G279" s="167" t="s">
        <v>150</v>
      </c>
      <c r="H279" s="167" t="s">
        <v>90</v>
      </c>
      <c r="I279" s="168" t="s">
        <v>153</v>
      </c>
      <c r="J279" s="166" t="s">
        <v>111</v>
      </c>
      <c r="K279" s="626">
        <v>27.4</v>
      </c>
      <c r="L279" s="151">
        <f t="shared" si="74"/>
        <v>0</v>
      </c>
      <c r="M279" s="626">
        <v>27.4</v>
      </c>
    </row>
    <row r="280" spans="1:13" s="169" customFormat="1" ht="56.25" hidden="1">
      <c r="A280" s="163"/>
      <c r="B280" s="149" t="s">
        <v>524</v>
      </c>
      <c r="C280" s="164" t="s">
        <v>417</v>
      </c>
      <c r="D280" s="165" t="s">
        <v>90</v>
      </c>
      <c r="E280" s="165" t="s">
        <v>130</v>
      </c>
      <c r="F280" s="175" t="s">
        <v>306</v>
      </c>
      <c r="G280" s="167" t="s">
        <v>150</v>
      </c>
      <c r="H280" s="167" t="s">
        <v>90</v>
      </c>
      <c r="I280" s="168" t="s">
        <v>523</v>
      </c>
      <c r="J280" s="166"/>
      <c r="K280" s="626">
        <f>K281</f>
        <v>33.799999999999997</v>
      </c>
      <c r="L280" s="626">
        <f>L281</f>
        <v>0</v>
      </c>
      <c r="M280" s="626">
        <f>M281</f>
        <v>33.799999999999997</v>
      </c>
    </row>
    <row r="281" spans="1:13" s="169" customFormat="1" ht="54" hidden="1" customHeight="1">
      <c r="A281" s="163"/>
      <c r="B281" s="724" t="s">
        <v>108</v>
      </c>
      <c r="C281" s="164" t="s">
        <v>417</v>
      </c>
      <c r="D281" s="165" t="s">
        <v>90</v>
      </c>
      <c r="E281" s="165" t="s">
        <v>130</v>
      </c>
      <c r="F281" s="175" t="s">
        <v>306</v>
      </c>
      <c r="G281" s="167" t="s">
        <v>150</v>
      </c>
      <c r="H281" s="167" t="s">
        <v>90</v>
      </c>
      <c r="I281" s="638" t="s">
        <v>523</v>
      </c>
      <c r="J281" s="166" t="s">
        <v>109</v>
      </c>
      <c r="K281" s="626">
        <f>32.9+0.9</f>
        <v>33.799999999999997</v>
      </c>
      <c r="L281" s="151">
        <f>M281-K281</f>
        <v>0</v>
      </c>
      <c r="M281" s="626">
        <f>32.9+0.9</f>
        <v>33.799999999999997</v>
      </c>
    </row>
    <row r="282" spans="1:13" s="178" customFormat="1" ht="37.5" hidden="1">
      <c r="A282" s="639"/>
      <c r="B282" s="640" t="s">
        <v>521</v>
      </c>
      <c r="C282" s="641" t="s">
        <v>417</v>
      </c>
      <c r="D282" s="642" t="s">
        <v>90</v>
      </c>
      <c r="E282" s="642" t="s">
        <v>130</v>
      </c>
      <c r="F282" s="643" t="s">
        <v>306</v>
      </c>
      <c r="G282" s="644" t="s">
        <v>150</v>
      </c>
      <c r="H282" s="644" t="s">
        <v>92</v>
      </c>
      <c r="I282" s="645" t="s">
        <v>97</v>
      </c>
      <c r="J282" s="646"/>
      <c r="K282" s="647">
        <f t="shared" ref="K282:M283" si="75">K283</f>
        <v>207</v>
      </c>
      <c r="L282" s="647">
        <f t="shared" si="75"/>
        <v>0</v>
      </c>
      <c r="M282" s="647">
        <f t="shared" si="75"/>
        <v>207</v>
      </c>
    </row>
    <row r="283" spans="1:13" s="178" customFormat="1" ht="75" hidden="1">
      <c r="A283" s="180"/>
      <c r="B283" s="648" t="s">
        <v>522</v>
      </c>
      <c r="C283" s="164" t="s">
        <v>417</v>
      </c>
      <c r="D283" s="165" t="s">
        <v>90</v>
      </c>
      <c r="E283" s="165" t="s">
        <v>130</v>
      </c>
      <c r="F283" s="649" t="s">
        <v>306</v>
      </c>
      <c r="G283" s="644" t="s">
        <v>150</v>
      </c>
      <c r="H283" s="644" t="s">
        <v>92</v>
      </c>
      <c r="I283" s="645" t="s">
        <v>168</v>
      </c>
      <c r="J283" s="650"/>
      <c r="K283" s="651">
        <f t="shared" si="75"/>
        <v>207</v>
      </c>
      <c r="L283" s="651">
        <f t="shared" si="75"/>
        <v>0</v>
      </c>
      <c r="M283" s="651">
        <f t="shared" si="75"/>
        <v>207</v>
      </c>
    </row>
    <row r="284" spans="1:13" s="178" customFormat="1" ht="55.15" hidden="1" customHeight="1">
      <c r="A284" s="652"/>
      <c r="B284" s="727" t="s">
        <v>108</v>
      </c>
      <c r="C284" s="653" t="s">
        <v>417</v>
      </c>
      <c r="D284" s="165" t="s">
        <v>90</v>
      </c>
      <c r="E284" s="165" t="s">
        <v>130</v>
      </c>
      <c r="F284" s="654" t="s">
        <v>306</v>
      </c>
      <c r="G284" s="655" t="s">
        <v>150</v>
      </c>
      <c r="H284" s="655" t="s">
        <v>92</v>
      </c>
      <c r="I284" s="656" t="s">
        <v>168</v>
      </c>
      <c r="J284" s="657" t="s">
        <v>109</v>
      </c>
      <c r="K284" s="658">
        <v>207</v>
      </c>
      <c r="L284" s="151">
        <f>M284-K284</f>
        <v>0</v>
      </c>
      <c r="M284" s="658">
        <v>207</v>
      </c>
    </row>
    <row r="285" spans="1:13" s="178" customFormat="1" ht="37.5" hidden="1">
      <c r="A285" s="652"/>
      <c r="B285" s="659" t="s">
        <v>581</v>
      </c>
      <c r="C285" s="653" t="s">
        <v>417</v>
      </c>
      <c r="D285" s="165" t="s">
        <v>90</v>
      </c>
      <c r="E285" s="165" t="s">
        <v>130</v>
      </c>
      <c r="F285" s="654" t="s">
        <v>306</v>
      </c>
      <c r="G285" s="655" t="s">
        <v>150</v>
      </c>
      <c r="H285" s="181" t="s">
        <v>119</v>
      </c>
      <c r="I285" s="660" t="s">
        <v>97</v>
      </c>
      <c r="J285" s="661"/>
      <c r="K285" s="662">
        <f>K286+K288</f>
        <v>83.972000000000008</v>
      </c>
      <c r="L285" s="662">
        <f>L286+L288</f>
        <v>2112.5</v>
      </c>
      <c r="M285" s="662">
        <f>M286+M288</f>
        <v>2196.4720000000002</v>
      </c>
    </row>
    <row r="286" spans="1:13" s="178" customFormat="1" ht="37.5" hidden="1">
      <c r="A286" s="652"/>
      <c r="B286" s="659" t="s">
        <v>489</v>
      </c>
      <c r="C286" s="653" t="s">
        <v>417</v>
      </c>
      <c r="D286" s="165" t="s">
        <v>90</v>
      </c>
      <c r="E286" s="165" t="s">
        <v>130</v>
      </c>
      <c r="F286" s="654" t="s">
        <v>306</v>
      </c>
      <c r="G286" s="655" t="s">
        <v>150</v>
      </c>
      <c r="H286" s="663" t="s">
        <v>119</v>
      </c>
      <c r="I286" s="664" t="s">
        <v>488</v>
      </c>
      <c r="J286" s="661"/>
      <c r="K286" s="662">
        <f t="shared" ref="K286:M286" si="76">K287</f>
        <v>83.972000000000008</v>
      </c>
      <c r="L286" s="662">
        <f>L287</f>
        <v>112.5</v>
      </c>
      <c r="M286" s="662">
        <f t="shared" si="76"/>
        <v>196.47200000000001</v>
      </c>
    </row>
    <row r="287" spans="1:13" s="178" customFormat="1" ht="18.75" hidden="1">
      <c r="A287" s="180"/>
      <c r="B287" s="801" t="s">
        <v>110</v>
      </c>
      <c r="C287" s="793" t="s">
        <v>417</v>
      </c>
      <c r="D287" s="794" t="s">
        <v>90</v>
      </c>
      <c r="E287" s="794" t="s">
        <v>130</v>
      </c>
      <c r="F287" s="795" t="s">
        <v>306</v>
      </c>
      <c r="G287" s="802" t="s">
        <v>150</v>
      </c>
      <c r="H287" s="802" t="s">
        <v>119</v>
      </c>
      <c r="I287" s="803" t="s">
        <v>488</v>
      </c>
      <c r="J287" s="804" t="s">
        <v>111</v>
      </c>
      <c r="K287" s="805">
        <f>68.5+2.242+13.2+0.03</f>
        <v>83.972000000000008</v>
      </c>
      <c r="L287" s="706">
        <f>M287-K287</f>
        <v>112.5</v>
      </c>
      <c r="M287" s="805">
        <f>68.5+2.242+13.2+0.03+112.5</f>
        <v>196.47200000000001</v>
      </c>
    </row>
    <row r="288" spans="1:13" s="178" customFormat="1" ht="56.25" hidden="1">
      <c r="A288" s="180"/>
      <c r="B288" s="815" t="s">
        <v>895</v>
      </c>
      <c r="C288" s="793" t="s">
        <v>417</v>
      </c>
      <c r="D288" s="794" t="s">
        <v>90</v>
      </c>
      <c r="E288" s="794" t="s">
        <v>130</v>
      </c>
      <c r="F288" s="795" t="s">
        <v>306</v>
      </c>
      <c r="G288" s="802" t="s">
        <v>150</v>
      </c>
      <c r="H288" s="802" t="s">
        <v>119</v>
      </c>
      <c r="I288" s="803" t="s">
        <v>894</v>
      </c>
      <c r="J288" s="804"/>
      <c r="K288" s="805">
        <f>K289</f>
        <v>0</v>
      </c>
      <c r="L288" s="706">
        <f>L289</f>
        <v>2000</v>
      </c>
      <c r="M288" s="805">
        <f>M289</f>
        <v>2000</v>
      </c>
    </row>
    <row r="289" spans="1:13" s="178" customFormat="1" ht="56.25" hidden="1">
      <c r="A289" s="180"/>
      <c r="B289" s="815" t="s">
        <v>108</v>
      </c>
      <c r="C289" s="793" t="s">
        <v>417</v>
      </c>
      <c r="D289" s="794" t="s">
        <v>90</v>
      </c>
      <c r="E289" s="794" t="s">
        <v>130</v>
      </c>
      <c r="F289" s="795" t="s">
        <v>306</v>
      </c>
      <c r="G289" s="802" t="s">
        <v>150</v>
      </c>
      <c r="H289" s="802" t="s">
        <v>119</v>
      </c>
      <c r="I289" s="803" t="s">
        <v>894</v>
      </c>
      <c r="J289" s="804" t="s">
        <v>109</v>
      </c>
      <c r="K289" s="805">
        <v>0</v>
      </c>
      <c r="L289" s="706">
        <f>M289-K289</f>
        <v>2000</v>
      </c>
      <c r="M289" s="805">
        <v>2000</v>
      </c>
    </row>
    <row r="290" spans="1:13" s="783" customFormat="1" ht="37.5" hidden="1">
      <c r="A290" s="820"/>
      <c r="B290" s="815" t="s">
        <v>491</v>
      </c>
      <c r="C290" s="793" t="s">
        <v>417</v>
      </c>
      <c r="D290" s="794" t="s">
        <v>90</v>
      </c>
      <c r="E290" s="794" t="s">
        <v>130</v>
      </c>
      <c r="F290" s="816" t="s">
        <v>306</v>
      </c>
      <c r="G290" s="802" t="s">
        <v>83</v>
      </c>
      <c r="H290" s="802" t="s">
        <v>96</v>
      </c>
      <c r="I290" s="803" t="s">
        <v>97</v>
      </c>
      <c r="J290" s="804"/>
      <c r="K290" s="805">
        <f t="shared" ref="K290:M292" si="77">K291</f>
        <v>0</v>
      </c>
      <c r="L290" s="706">
        <f t="shared" si="77"/>
        <v>3551.4050000000002</v>
      </c>
      <c r="M290" s="706">
        <f t="shared" si="77"/>
        <v>3551.4050000000002</v>
      </c>
    </row>
    <row r="291" spans="1:13" s="783" customFormat="1" ht="18.75" hidden="1">
      <c r="A291" s="820"/>
      <c r="B291" s="815" t="s">
        <v>892</v>
      </c>
      <c r="C291" s="793" t="s">
        <v>417</v>
      </c>
      <c r="D291" s="794" t="s">
        <v>90</v>
      </c>
      <c r="E291" s="794" t="s">
        <v>130</v>
      </c>
      <c r="F291" s="816" t="s">
        <v>306</v>
      </c>
      <c r="G291" s="802" t="s">
        <v>83</v>
      </c>
      <c r="H291" s="802" t="s">
        <v>105</v>
      </c>
      <c r="I291" s="803" t="s">
        <v>97</v>
      </c>
      <c r="J291" s="804"/>
      <c r="K291" s="805">
        <f t="shared" si="77"/>
        <v>0</v>
      </c>
      <c r="L291" s="706">
        <f t="shared" si="77"/>
        <v>3551.4050000000002</v>
      </c>
      <c r="M291" s="706">
        <f t="shared" si="77"/>
        <v>3551.4050000000002</v>
      </c>
    </row>
    <row r="292" spans="1:13" s="783" customFormat="1" ht="37.5" hidden="1">
      <c r="A292" s="820"/>
      <c r="B292" s="815" t="s">
        <v>893</v>
      </c>
      <c r="C292" s="793" t="s">
        <v>417</v>
      </c>
      <c r="D292" s="794" t="s">
        <v>90</v>
      </c>
      <c r="E292" s="794" t="s">
        <v>130</v>
      </c>
      <c r="F292" s="816" t="s">
        <v>306</v>
      </c>
      <c r="G292" s="802" t="s">
        <v>83</v>
      </c>
      <c r="H292" s="802" t="s">
        <v>105</v>
      </c>
      <c r="I292" s="803" t="s">
        <v>891</v>
      </c>
      <c r="J292" s="804"/>
      <c r="K292" s="805">
        <f t="shared" si="77"/>
        <v>0</v>
      </c>
      <c r="L292" s="706">
        <f t="shared" si="77"/>
        <v>3551.4050000000002</v>
      </c>
      <c r="M292" s="706">
        <f t="shared" si="77"/>
        <v>3551.4050000000002</v>
      </c>
    </row>
    <row r="293" spans="1:13" s="783" customFormat="1" ht="18.75" hidden="1">
      <c r="A293" s="820"/>
      <c r="B293" s="801" t="s">
        <v>110</v>
      </c>
      <c r="C293" s="793" t="s">
        <v>417</v>
      </c>
      <c r="D293" s="794" t="s">
        <v>90</v>
      </c>
      <c r="E293" s="794" t="s">
        <v>130</v>
      </c>
      <c r="F293" s="816" t="s">
        <v>306</v>
      </c>
      <c r="G293" s="802" t="s">
        <v>83</v>
      </c>
      <c r="H293" s="802" t="s">
        <v>105</v>
      </c>
      <c r="I293" s="803" t="s">
        <v>891</v>
      </c>
      <c r="J293" s="804" t="s">
        <v>111</v>
      </c>
      <c r="K293" s="805">
        <v>0</v>
      </c>
      <c r="L293" s="706">
        <f>M293-K293</f>
        <v>3551.4050000000002</v>
      </c>
      <c r="M293" s="805">
        <v>3551.4050000000002</v>
      </c>
    </row>
    <row r="294" spans="1:13" s="169" customFormat="1" ht="56.25" hidden="1">
      <c r="A294" s="163"/>
      <c r="B294" s="665" t="s">
        <v>93</v>
      </c>
      <c r="C294" s="164" t="s">
        <v>417</v>
      </c>
      <c r="D294" s="165" t="s">
        <v>90</v>
      </c>
      <c r="E294" s="165" t="s">
        <v>130</v>
      </c>
      <c r="F294" s="182" t="s">
        <v>94</v>
      </c>
      <c r="G294" s="167" t="s">
        <v>95</v>
      </c>
      <c r="H294" s="167" t="s">
        <v>96</v>
      </c>
      <c r="I294" s="168" t="s">
        <v>97</v>
      </c>
      <c r="J294" s="166"/>
      <c r="K294" s="626">
        <f t="shared" ref="K294:M295" si="78">K295</f>
        <v>5636.5</v>
      </c>
      <c r="L294" s="626">
        <f t="shared" si="78"/>
        <v>-493.30000000000018</v>
      </c>
      <c r="M294" s="626">
        <f t="shared" si="78"/>
        <v>5143.2</v>
      </c>
    </row>
    <row r="295" spans="1:13" s="169" customFormat="1" ht="37.5" hidden="1">
      <c r="A295" s="163"/>
      <c r="B295" s="149" t="s">
        <v>491</v>
      </c>
      <c r="C295" s="164" t="s">
        <v>417</v>
      </c>
      <c r="D295" s="165" t="s">
        <v>90</v>
      </c>
      <c r="E295" s="165" t="s">
        <v>130</v>
      </c>
      <c r="F295" s="175" t="s">
        <v>94</v>
      </c>
      <c r="G295" s="167" t="s">
        <v>98</v>
      </c>
      <c r="H295" s="167" t="s">
        <v>96</v>
      </c>
      <c r="I295" s="168" t="s">
        <v>97</v>
      </c>
      <c r="J295" s="166"/>
      <c r="K295" s="626">
        <f t="shared" si="78"/>
        <v>5636.5</v>
      </c>
      <c r="L295" s="626">
        <f t="shared" si="78"/>
        <v>-493.30000000000018</v>
      </c>
      <c r="M295" s="626">
        <f t="shared" si="78"/>
        <v>5143.2</v>
      </c>
    </row>
    <row r="296" spans="1:13" s="169" customFormat="1" ht="75" hidden="1">
      <c r="A296" s="163"/>
      <c r="B296" s="159" t="s">
        <v>420</v>
      </c>
      <c r="C296" s="164" t="s">
        <v>417</v>
      </c>
      <c r="D296" s="165" t="s">
        <v>90</v>
      </c>
      <c r="E296" s="165" t="s">
        <v>130</v>
      </c>
      <c r="F296" s="175" t="s">
        <v>94</v>
      </c>
      <c r="G296" s="167" t="s">
        <v>98</v>
      </c>
      <c r="H296" s="167" t="s">
        <v>141</v>
      </c>
      <c r="I296" s="168" t="s">
        <v>97</v>
      </c>
      <c r="J296" s="166"/>
      <c r="K296" s="626">
        <f t="shared" ref="K296:M296" si="79">K297</f>
        <v>5636.5</v>
      </c>
      <c r="L296" s="626">
        <f t="shared" si="79"/>
        <v>-493.30000000000018</v>
      </c>
      <c r="M296" s="626">
        <f t="shared" si="79"/>
        <v>5143.2</v>
      </c>
    </row>
    <row r="297" spans="1:13" s="169" customFormat="1" ht="71.45" hidden="1" customHeight="1">
      <c r="A297" s="163"/>
      <c r="B297" s="726" t="s">
        <v>151</v>
      </c>
      <c r="C297" s="164" t="s">
        <v>417</v>
      </c>
      <c r="D297" s="165" t="s">
        <v>90</v>
      </c>
      <c r="E297" s="165" t="s">
        <v>130</v>
      </c>
      <c r="F297" s="175" t="s">
        <v>94</v>
      </c>
      <c r="G297" s="167" t="s">
        <v>98</v>
      </c>
      <c r="H297" s="167" t="s">
        <v>141</v>
      </c>
      <c r="I297" s="168" t="s">
        <v>153</v>
      </c>
      <c r="J297" s="166"/>
      <c r="K297" s="626">
        <f t="shared" ref="K297:M297" si="80">SUM(K298:K300)</f>
        <v>5636.5</v>
      </c>
      <c r="L297" s="626">
        <f t="shared" ref="L297" si="81">SUM(L298:L300)</f>
        <v>-493.30000000000018</v>
      </c>
      <c r="M297" s="626">
        <f t="shared" si="80"/>
        <v>5143.2</v>
      </c>
    </row>
    <row r="298" spans="1:13" s="169" customFormat="1" ht="91.15" hidden="1" customHeight="1">
      <c r="A298" s="163"/>
      <c r="B298" s="800" t="s">
        <v>102</v>
      </c>
      <c r="C298" s="793" t="s">
        <v>417</v>
      </c>
      <c r="D298" s="794" t="s">
        <v>90</v>
      </c>
      <c r="E298" s="794" t="s">
        <v>130</v>
      </c>
      <c r="F298" s="795" t="s">
        <v>94</v>
      </c>
      <c r="G298" s="796" t="s">
        <v>98</v>
      </c>
      <c r="H298" s="796" t="s">
        <v>141</v>
      </c>
      <c r="I298" s="797" t="s">
        <v>153</v>
      </c>
      <c r="J298" s="798" t="s">
        <v>103</v>
      </c>
      <c r="K298" s="799">
        <f>5038.7+2.081</f>
        <v>5040.7809999999999</v>
      </c>
      <c r="L298" s="706">
        <f t="shared" ref="L298:L300" si="82">M298-K298</f>
        <v>-493.30000000000018</v>
      </c>
      <c r="M298" s="799">
        <f>5038.7+2.081-493.3</f>
        <v>4547.4809999999998</v>
      </c>
    </row>
    <row r="299" spans="1:13" s="169" customFormat="1" ht="53.45" hidden="1" customHeight="1">
      <c r="A299" s="163"/>
      <c r="B299" s="724" t="s">
        <v>108</v>
      </c>
      <c r="C299" s="164" t="s">
        <v>417</v>
      </c>
      <c r="D299" s="165" t="s">
        <v>90</v>
      </c>
      <c r="E299" s="165" t="s">
        <v>130</v>
      </c>
      <c r="F299" s="175" t="s">
        <v>94</v>
      </c>
      <c r="G299" s="167" t="s">
        <v>98</v>
      </c>
      <c r="H299" s="167" t="s">
        <v>141</v>
      </c>
      <c r="I299" s="168" t="s">
        <v>153</v>
      </c>
      <c r="J299" s="166" t="s">
        <v>109</v>
      </c>
      <c r="K299" s="626">
        <f>514.3+83.4-2.081</f>
        <v>595.61899999999991</v>
      </c>
      <c r="L299" s="151">
        <f t="shared" si="82"/>
        <v>0</v>
      </c>
      <c r="M299" s="626">
        <f>514.3+83.4-2.081</f>
        <v>595.61899999999991</v>
      </c>
    </row>
    <row r="300" spans="1:13" s="169" customFormat="1" ht="18.75" hidden="1">
      <c r="A300" s="163"/>
      <c r="B300" s="159" t="s">
        <v>110</v>
      </c>
      <c r="C300" s="164" t="s">
        <v>417</v>
      </c>
      <c r="D300" s="165" t="s">
        <v>90</v>
      </c>
      <c r="E300" s="165" t="s">
        <v>130</v>
      </c>
      <c r="F300" s="175" t="s">
        <v>94</v>
      </c>
      <c r="G300" s="167" t="s">
        <v>98</v>
      </c>
      <c r="H300" s="167" t="s">
        <v>141</v>
      </c>
      <c r="I300" s="168" t="s">
        <v>153</v>
      </c>
      <c r="J300" s="166" t="s">
        <v>111</v>
      </c>
      <c r="K300" s="626">
        <v>0.1</v>
      </c>
      <c r="L300" s="151">
        <f t="shared" si="82"/>
        <v>0</v>
      </c>
      <c r="M300" s="626">
        <v>0.1</v>
      </c>
    </row>
    <row r="301" spans="1:13" s="169" customFormat="1" ht="18.75" hidden="1">
      <c r="A301" s="163"/>
      <c r="B301" s="149" t="s">
        <v>154</v>
      </c>
      <c r="C301" s="164" t="s">
        <v>417</v>
      </c>
      <c r="D301" s="165" t="s">
        <v>105</v>
      </c>
      <c r="E301" s="165"/>
      <c r="F301" s="175"/>
      <c r="G301" s="167"/>
      <c r="H301" s="167"/>
      <c r="I301" s="168"/>
      <c r="J301" s="166"/>
      <c r="K301" s="626">
        <f t="shared" ref="K301:M306" si="83">K302</f>
        <v>2437.27</v>
      </c>
      <c r="L301" s="626">
        <f t="shared" si="83"/>
        <v>0</v>
      </c>
      <c r="M301" s="626">
        <f t="shared" si="83"/>
        <v>2437.27</v>
      </c>
    </row>
    <row r="302" spans="1:13" s="169" customFormat="1" ht="37.5" hidden="1">
      <c r="A302" s="163"/>
      <c r="B302" s="156" t="s">
        <v>169</v>
      </c>
      <c r="C302" s="164" t="s">
        <v>417</v>
      </c>
      <c r="D302" s="165" t="s">
        <v>105</v>
      </c>
      <c r="E302" s="165" t="s">
        <v>163</v>
      </c>
      <c r="F302" s="175"/>
      <c r="G302" s="167"/>
      <c r="H302" s="167"/>
      <c r="I302" s="168"/>
      <c r="J302" s="166"/>
      <c r="K302" s="626">
        <f t="shared" si="83"/>
        <v>2437.27</v>
      </c>
      <c r="L302" s="626">
        <f t="shared" si="83"/>
        <v>0</v>
      </c>
      <c r="M302" s="626">
        <f t="shared" si="83"/>
        <v>2437.27</v>
      </c>
    </row>
    <row r="303" spans="1:13" s="169" customFormat="1" ht="56.25" hidden="1">
      <c r="A303" s="163"/>
      <c r="B303" s="159" t="s">
        <v>305</v>
      </c>
      <c r="C303" s="164" t="s">
        <v>417</v>
      </c>
      <c r="D303" s="165" t="s">
        <v>105</v>
      </c>
      <c r="E303" s="165" t="s">
        <v>163</v>
      </c>
      <c r="F303" s="175" t="s">
        <v>306</v>
      </c>
      <c r="G303" s="167" t="s">
        <v>95</v>
      </c>
      <c r="H303" s="167" t="s">
        <v>96</v>
      </c>
      <c r="I303" s="168" t="s">
        <v>97</v>
      </c>
      <c r="J303" s="166"/>
      <c r="K303" s="626">
        <f t="shared" si="83"/>
        <v>2437.27</v>
      </c>
      <c r="L303" s="626">
        <f t="shared" si="83"/>
        <v>0</v>
      </c>
      <c r="M303" s="626">
        <f t="shared" si="83"/>
        <v>2437.27</v>
      </c>
    </row>
    <row r="304" spans="1:13" s="169" customFormat="1" ht="56.25" hidden="1">
      <c r="A304" s="163"/>
      <c r="B304" s="159" t="s">
        <v>307</v>
      </c>
      <c r="C304" s="164" t="s">
        <v>417</v>
      </c>
      <c r="D304" s="165" t="s">
        <v>105</v>
      </c>
      <c r="E304" s="165" t="s">
        <v>163</v>
      </c>
      <c r="F304" s="175" t="s">
        <v>306</v>
      </c>
      <c r="G304" s="167" t="s">
        <v>98</v>
      </c>
      <c r="H304" s="167" t="s">
        <v>96</v>
      </c>
      <c r="I304" s="168" t="s">
        <v>97</v>
      </c>
      <c r="J304" s="166"/>
      <c r="K304" s="626">
        <f t="shared" si="83"/>
        <v>2437.27</v>
      </c>
      <c r="L304" s="626">
        <f t="shared" si="83"/>
        <v>0</v>
      </c>
      <c r="M304" s="626">
        <f t="shared" si="83"/>
        <v>2437.27</v>
      </c>
    </row>
    <row r="305" spans="1:13" s="169" customFormat="1" ht="112.5" hidden="1">
      <c r="A305" s="163"/>
      <c r="B305" s="159" t="s">
        <v>418</v>
      </c>
      <c r="C305" s="164" t="s">
        <v>417</v>
      </c>
      <c r="D305" s="165" t="s">
        <v>105</v>
      </c>
      <c r="E305" s="165" t="s">
        <v>163</v>
      </c>
      <c r="F305" s="175" t="s">
        <v>306</v>
      </c>
      <c r="G305" s="167" t="s">
        <v>98</v>
      </c>
      <c r="H305" s="167" t="s">
        <v>90</v>
      </c>
      <c r="I305" s="168" t="s">
        <v>97</v>
      </c>
      <c r="J305" s="166"/>
      <c r="K305" s="626">
        <f t="shared" si="83"/>
        <v>2437.27</v>
      </c>
      <c r="L305" s="626">
        <f t="shared" si="83"/>
        <v>0</v>
      </c>
      <c r="M305" s="626">
        <f t="shared" si="83"/>
        <v>2437.27</v>
      </c>
    </row>
    <row r="306" spans="1:13" s="169" customFormat="1" ht="37.5" hidden="1">
      <c r="A306" s="163"/>
      <c r="B306" s="159" t="s">
        <v>571</v>
      </c>
      <c r="C306" s="164" t="s">
        <v>417</v>
      </c>
      <c r="D306" s="165" t="s">
        <v>105</v>
      </c>
      <c r="E306" s="165" t="s">
        <v>163</v>
      </c>
      <c r="F306" s="175" t="s">
        <v>306</v>
      </c>
      <c r="G306" s="167" t="s">
        <v>98</v>
      </c>
      <c r="H306" s="167" t="s">
        <v>90</v>
      </c>
      <c r="I306" s="168" t="s">
        <v>570</v>
      </c>
      <c r="J306" s="166"/>
      <c r="K306" s="626">
        <f t="shared" si="83"/>
        <v>2437.27</v>
      </c>
      <c r="L306" s="626">
        <f t="shared" si="83"/>
        <v>0</v>
      </c>
      <c r="M306" s="626">
        <f t="shared" si="83"/>
        <v>2437.27</v>
      </c>
    </row>
    <row r="307" spans="1:13" s="169" customFormat="1" ht="55.15" hidden="1" customHeight="1">
      <c r="A307" s="163"/>
      <c r="B307" s="724" t="s">
        <v>108</v>
      </c>
      <c r="C307" s="164" t="s">
        <v>417</v>
      </c>
      <c r="D307" s="165" t="s">
        <v>105</v>
      </c>
      <c r="E307" s="165" t="s">
        <v>163</v>
      </c>
      <c r="F307" s="175" t="s">
        <v>306</v>
      </c>
      <c r="G307" s="167" t="s">
        <v>98</v>
      </c>
      <c r="H307" s="167" t="s">
        <v>90</v>
      </c>
      <c r="I307" s="168" t="s">
        <v>570</v>
      </c>
      <c r="J307" s="166" t="s">
        <v>109</v>
      </c>
      <c r="K307" s="626">
        <f>2437.3-0.03</f>
        <v>2437.27</v>
      </c>
      <c r="L307" s="151">
        <f>M307-K307</f>
        <v>0</v>
      </c>
      <c r="M307" s="626">
        <f>2437.3-0.03</f>
        <v>2437.27</v>
      </c>
    </row>
    <row r="308" spans="1:13" s="169" customFormat="1" ht="18.75" hidden="1">
      <c r="A308" s="163"/>
      <c r="B308" s="159" t="s">
        <v>252</v>
      </c>
      <c r="C308" s="164" t="s">
        <v>417</v>
      </c>
      <c r="D308" s="165" t="s">
        <v>121</v>
      </c>
      <c r="E308" s="165"/>
      <c r="F308" s="174"/>
      <c r="G308" s="167"/>
      <c r="H308" s="167"/>
      <c r="I308" s="183"/>
      <c r="J308" s="166"/>
      <c r="K308" s="626">
        <f t="shared" ref="K308:M308" si="84">K309</f>
        <v>17857.501</v>
      </c>
      <c r="L308" s="151">
        <f t="shared" ref="L308:L314" si="85">M308-K308</f>
        <v>0</v>
      </c>
      <c r="M308" s="626">
        <f t="shared" si="84"/>
        <v>17857.501</v>
      </c>
    </row>
    <row r="309" spans="1:13" s="169" customFormat="1" ht="18.75" hidden="1">
      <c r="A309" s="163"/>
      <c r="B309" s="159" t="s">
        <v>483</v>
      </c>
      <c r="C309" s="164" t="s">
        <v>417</v>
      </c>
      <c r="D309" s="165" t="s">
        <v>121</v>
      </c>
      <c r="E309" s="165" t="s">
        <v>92</v>
      </c>
      <c r="F309" s="174"/>
      <c r="G309" s="167"/>
      <c r="H309" s="167"/>
      <c r="I309" s="183"/>
      <c r="J309" s="166"/>
      <c r="K309" s="626">
        <f t="shared" ref="K309:M309" si="86">K315+K310</f>
        <v>17857.501</v>
      </c>
      <c r="L309" s="151">
        <f t="shared" si="85"/>
        <v>0</v>
      </c>
      <c r="M309" s="626">
        <f t="shared" si="86"/>
        <v>17857.501</v>
      </c>
    </row>
    <row r="310" spans="1:13" s="169" customFormat="1" ht="56.25" hidden="1">
      <c r="A310" s="163"/>
      <c r="B310" s="159" t="s">
        <v>305</v>
      </c>
      <c r="C310" s="164" t="s">
        <v>417</v>
      </c>
      <c r="D310" s="165" t="s">
        <v>121</v>
      </c>
      <c r="E310" s="165" t="s">
        <v>92</v>
      </c>
      <c r="F310" s="175" t="s">
        <v>306</v>
      </c>
      <c r="G310" s="167" t="s">
        <v>95</v>
      </c>
      <c r="H310" s="167" t="s">
        <v>96</v>
      </c>
      <c r="I310" s="168" t="s">
        <v>97</v>
      </c>
      <c r="J310" s="166"/>
      <c r="K310" s="626">
        <f>K311</f>
        <v>11.101000000000001</v>
      </c>
      <c r="L310" s="151">
        <f t="shared" si="85"/>
        <v>0</v>
      </c>
      <c r="M310" s="626">
        <f>M311</f>
        <v>11.101000000000001</v>
      </c>
    </row>
    <row r="311" spans="1:13" s="169" customFormat="1" ht="56.25" hidden="1">
      <c r="A311" s="163"/>
      <c r="B311" s="159" t="s">
        <v>307</v>
      </c>
      <c r="C311" s="164" t="s">
        <v>417</v>
      </c>
      <c r="D311" s="165" t="s">
        <v>121</v>
      </c>
      <c r="E311" s="165" t="s">
        <v>92</v>
      </c>
      <c r="F311" s="175" t="s">
        <v>306</v>
      </c>
      <c r="G311" s="167" t="s">
        <v>98</v>
      </c>
      <c r="H311" s="167" t="s">
        <v>96</v>
      </c>
      <c r="I311" s="168" t="s">
        <v>97</v>
      </c>
      <c r="J311" s="166"/>
      <c r="K311" s="626">
        <f>K312</f>
        <v>11.101000000000001</v>
      </c>
      <c r="L311" s="151">
        <f t="shared" si="85"/>
        <v>0</v>
      </c>
      <c r="M311" s="626">
        <f>M312</f>
        <v>11.101000000000001</v>
      </c>
    </row>
    <row r="312" spans="1:13" s="169" customFormat="1" ht="40.15" hidden="1" customHeight="1">
      <c r="A312" s="163"/>
      <c r="B312" s="159" t="s">
        <v>490</v>
      </c>
      <c r="C312" s="164" t="s">
        <v>417</v>
      </c>
      <c r="D312" s="165" t="s">
        <v>121</v>
      </c>
      <c r="E312" s="165" t="s">
        <v>92</v>
      </c>
      <c r="F312" s="174" t="s">
        <v>306</v>
      </c>
      <c r="G312" s="167" t="s">
        <v>98</v>
      </c>
      <c r="H312" s="167" t="s">
        <v>92</v>
      </c>
      <c r="I312" s="183" t="s">
        <v>97</v>
      </c>
      <c r="J312" s="166"/>
      <c r="K312" s="626">
        <f>K313</f>
        <v>11.101000000000001</v>
      </c>
      <c r="L312" s="151">
        <f t="shared" si="85"/>
        <v>0</v>
      </c>
      <c r="M312" s="626">
        <f>M313</f>
        <v>11.101000000000001</v>
      </c>
    </row>
    <row r="313" spans="1:13" s="169" customFormat="1" ht="37.5" hidden="1">
      <c r="A313" s="163"/>
      <c r="B313" s="159" t="s">
        <v>489</v>
      </c>
      <c r="C313" s="164" t="s">
        <v>417</v>
      </c>
      <c r="D313" s="165" t="s">
        <v>121</v>
      </c>
      <c r="E313" s="165" t="s">
        <v>92</v>
      </c>
      <c r="F313" s="174" t="s">
        <v>306</v>
      </c>
      <c r="G313" s="167" t="s">
        <v>98</v>
      </c>
      <c r="H313" s="167" t="s">
        <v>92</v>
      </c>
      <c r="I313" s="183" t="s">
        <v>488</v>
      </c>
      <c r="J313" s="166"/>
      <c r="K313" s="626">
        <f>K314</f>
        <v>11.101000000000001</v>
      </c>
      <c r="L313" s="151">
        <f t="shared" si="85"/>
        <v>0</v>
      </c>
      <c r="M313" s="626">
        <f>M314</f>
        <v>11.101000000000001</v>
      </c>
    </row>
    <row r="314" spans="1:13" s="169" customFormat="1" ht="57" hidden="1" customHeight="1">
      <c r="A314" s="163"/>
      <c r="B314" s="726" t="s">
        <v>108</v>
      </c>
      <c r="C314" s="164" t="s">
        <v>417</v>
      </c>
      <c r="D314" s="165" t="s">
        <v>121</v>
      </c>
      <c r="E314" s="165" t="s">
        <v>92</v>
      </c>
      <c r="F314" s="174" t="s">
        <v>306</v>
      </c>
      <c r="G314" s="167" t="s">
        <v>98</v>
      </c>
      <c r="H314" s="167" t="s">
        <v>92</v>
      </c>
      <c r="I314" s="183" t="s">
        <v>488</v>
      </c>
      <c r="J314" s="166" t="s">
        <v>109</v>
      </c>
      <c r="K314" s="626">
        <v>11.101000000000001</v>
      </c>
      <c r="L314" s="151">
        <f t="shared" si="85"/>
        <v>0</v>
      </c>
      <c r="M314" s="626">
        <v>11.101000000000001</v>
      </c>
    </row>
    <row r="315" spans="1:13" s="169" customFormat="1" ht="75" hidden="1">
      <c r="A315" s="163"/>
      <c r="B315" s="627" t="s">
        <v>482</v>
      </c>
      <c r="C315" s="164" t="s">
        <v>417</v>
      </c>
      <c r="D315" s="165" t="s">
        <v>121</v>
      </c>
      <c r="E315" s="165" t="s">
        <v>92</v>
      </c>
      <c r="F315" s="174" t="s">
        <v>167</v>
      </c>
      <c r="G315" s="167" t="s">
        <v>95</v>
      </c>
      <c r="H315" s="167" t="s">
        <v>96</v>
      </c>
      <c r="I315" s="183" t="s">
        <v>97</v>
      </c>
      <c r="J315" s="166"/>
      <c r="K315" s="626">
        <f t="shared" ref="K315:M318" si="87">K316</f>
        <v>17846.400000000001</v>
      </c>
      <c r="L315" s="626">
        <f t="shared" si="87"/>
        <v>0</v>
      </c>
      <c r="M315" s="626">
        <f t="shared" si="87"/>
        <v>17846.400000000001</v>
      </c>
    </row>
    <row r="316" spans="1:13" s="169" customFormat="1" ht="56.25" hidden="1">
      <c r="A316" s="163"/>
      <c r="B316" s="149" t="s">
        <v>484</v>
      </c>
      <c r="C316" s="164" t="s">
        <v>417</v>
      </c>
      <c r="D316" s="165" t="s">
        <v>121</v>
      </c>
      <c r="E316" s="165" t="s">
        <v>92</v>
      </c>
      <c r="F316" s="174" t="s">
        <v>167</v>
      </c>
      <c r="G316" s="167" t="s">
        <v>98</v>
      </c>
      <c r="H316" s="167" t="s">
        <v>96</v>
      </c>
      <c r="I316" s="183" t="s">
        <v>97</v>
      </c>
      <c r="J316" s="166"/>
      <c r="K316" s="626">
        <f t="shared" si="87"/>
        <v>17846.400000000001</v>
      </c>
      <c r="L316" s="626">
        <f t="shared" si="87"/>
        <v>0</v>
      </c>
      <c r="M316" s="626">
        <f t="shared" si="87"/>
        <v>17846.400000000001</v>
      </c>
    </row>
    <row r="317" spans="1:13" s="169" customFormat="1" ht="56.25" hidden="1">
      <c r="A317" s="163"/>
      <c r="B317" s="149" t="s">
        <v>572</v>
      </c>
      <c r="C317" s="164" t="s">
        <v>417</v>
      </c>
      <c r="D317" s="165" t="s">
        <v>121</v>
      </c>
      <c r="E317" s="165" t="s">
        <v>92</v>
      </c>
      <c r="F317" s="174" t="s">
        <v>167</v>
      </c>
      <c r="G317" s="167" t="s">
        <v>98</v>
      </c>
      <c r="H317" s="167" t="s">
        <v>90</v>
      </c>
      <c r="I317" s="183" t="s">
        <v>97</v>
      </c>
      <c r="J317" s="166"/>
      <c r="K317" s="626">
        <f>K318+K320</f>
        <v>17846.400000000001</v>
      </c>
      <c r="L317" s="626">
        <f>L318+L320</f>
        <v>0</v>
      </c>
      <c r="M317" s="626">
        <f>M318+M320</f>
        <v>17846.400000000001</v>
      </c>
    </row>
    <row r="318" spans="1:13" s="169" customFormat="1" ht="52.9" hidden="1" customHeight="1">
      <c r="A318" s="163"/>
      <c r="B318" s="149" t="s">
        <v>485</v>
      </c>
      <c r="C318" s="164" t="s">
        <v>417</v>
      </c>
      <c r="D318" s="165" t="s">
        <v>121</v>
      </c>
      <c r="E318" s="165" t="s">
        <v>92</v>
      </c>
      <c r="F318" s="174" t="s">
        <v>167</v>
      </c>
      <c r="G318" s="167" t="s">
        <v>98</v>
      </c>
      <c r="H318" s="167" t="s">
        <v>90</v>
      </c>
      <c r="I318" s="183" t="s">
        <v>486</v>
      </c>
      <c r="J318" s="166"/>
      <c r="K318" s="626">
        <f t="shared" si="87"/>
        <v>1448.8820000000001</v>
      </c>
      <c r="L318" s="626">
        <f t="shared" si="87"/>
        <v>0</v>
      </c>
      <c r="M318" s="626">
        <f t="shared" si="87"/>
        <v>1448.8820000000001</v>
      </c>
    </row>
    <row r="319" spans="1:13" s="169" customFormat="1" ht="56.25" hidden="1">
      <c r="A319" s="163"/>
      <c r="B319" s="149" t="s">
        <v>282</v>
      </c>
      <c r="C319" s="164" t="s">
        <v>417</v>
      </c>
      <c r="D319" s="165" t="s">
        <v>121</v>
      </c>
      <c r="E319" s="165" t="s">
        <v>92</v>
      </c>
      <c r="F319" s="174" t="s">
        <v>167</v>
      </c>
      <c r="G319" s="167" t="s">
        <v>98</v>
      </c>
      <c r="H319" s="167" t="s">
        <v>90</v>
      </c>
      <c r="I319" s="183" t="s">
        <v>486</v>
      </c>
      <c r="J319" s="166" t="s">
        <v>283</v>
      </c>
      <c r="K319" s="626">
        <f>817.8-336+1818-820.518-30.4</f>
        <v>1448.8820000000001</v>
      </c>
      <c r="L319" s="151">
        <f>M319-K319</f>
        <v>0</v>
      </c>
      <c r="M319" s="626">
        <f>817.8-336+1818-820.518-30.4</f>
        <v>1448.8820000000001</v>
      </c>
    </row>
    <row r="320" spans="1:13" s="169" customFormat="1" ht="37.5" hidden="1">
      <c r="A320" s="163"/>
      <c r="B320" s="149" t="s">
        <v>873</v>
      </c>
      <c r="C320" s="164" t="s">
        <v>417</v>
      </c>
      <c r="D320" s="165" t="s">
        <v>121</v>
      </c>
      <c r="E320" s="165" t="s">
        <v>92</v>
      </c>
      <c r="F320" s="174" t="s">
        <v>167</v>
      </c>
      <c r="G320" s="167" t="s">
        <v>98</v>
      </c>
      <c r="H320" s="167" t="s">
        <v>90</v>
      </c>
      <c r="I320" s="183" t="s">
        <v>868</v>
      </c>
      <c r="J320" s="166"/>
      <c r="K320" s="626">
        <f>K321</f>
        <v>16397.518</v>
      </c>
      <c r="L320" s="151">
        <f>L321</f>
        <v>0</v>
      </c>
      <c r="M320" s="626">
        <f>M321</f>
        <v>16397.518</v>
      </c>
    </row>
    <row r="321" spans="1:13" s="169" customFormat="1" ht="56.25" hidden="1">
      <c r="A321" s="163"/>
      <c r="B321" s="149" t="s">
        <v>282</v>
      </c>
      <c r="C321" s="164" t="s">
        <v>417</v>
      </c>
      <c r="D321" s="165" t="s">
        <v>121</v>
      </c>
      <c r="E321" s="165" t="s">
        <v>92</v>
      </c>
      <c r="F321" s="174" t="s">
        <v>167</v>
      </c>
      <c r="G321" s="167" t="s">
        <v>98</v>
      </c>
      <c r="H321" s="167" t="s">
        <v>90</v>
      </c>
      <c r="I321" s="183" t="s">
        <v>868</v>
      </c>
      <c r="J321" s="166" t="s">
        <v>283</v>
      </c>
      <c r="K321" s="626">
        <f>15577+820.518</f>
        <v>16397.518</v>
      </c>
      <c r="L321" s="151">
        <f>M321-K321</f>
        <v>0</v>
      </c>
      <c r="M321" s="626">
        <f>15577+820.518</f>
        <v>16397.518</v>
      </c>
    </row>
    <row r="322" spans="1:13" s="169" customFormat="1" ht="18.75" hidden="1">
      <c r="A322" s="163"/>
      <c r="B322" s="149" t="s">
        <v>254</v>
      </c>
      <c r="C322" s="164" t="s">
        <v>417</v>
      </c>
      <c r="D322" s="165" t="s">
        <v>304</v>
      </c>
      <c r="E322" s="165"/>
      <c r="F322" s="174"/>
      <c r="G322" s="167"/>
      <c r="H322" s="167"/>
      <c r="I322" s="183"/>
      <c r="J322" s="166"/>
      <c r="K322" s="151">
        <f>K323+K329</f>
        <v>8485.1</v>
      </c>
      <c r="L322" s="151">
        <f>L323+L329</f>
        <v>-1500</v>
      </c>
      <c r="M322" s="151">
        <f>M323+M329</f>
        <v>6985.1</v>
      </c>
    </row>
    <row r="323" spans="1:13" s="169" customFormat="1" ht="18.75" hidden="1">
      <c r="A323" s="163"/>
      <c r="B323" s="149" t="s">
        <v>256</v>
      </c>
      <c r="C323" s="164" t="s">
        <v>417</v>
      </c>
      <c r="D323" s="165" t="s">
        <v>304</v>
      </c>
      <c r="E323" s="165" t="s">
        <v>90</v>
      </c>
      <c r="F323" s="174"/>
      <c r="G323" s="167"/>
      <c r="H323" s="167"/>
      <c r="I323" s="183"/>
      <c r="J323" s="166"/>
      <c r="K323" s="151">
        <f>K324</f>
        <v>6985.1</v>
      </c>
      <c r="L323" s="151">
        <f t="shared" ref="L323:L328" si="88">M323-K323</f>
        <v>0</v>
      </c>
      <c r="M323" s="151">
        <f>M324</f>
        <v>6985.1</v>
      </c>
    </row>
    <row r="324" spans="1:13" s="169" customFormat="1" ht="56.25" hidden="1">
      <c r="A324" s="163"/>
      <c r="B324" s="149" t="s">
        <v>284</v>
      </c>
      <c r="C324" s="164" t="s">
        <v>417</v>
      </c>
      <c r="D324" s="165" t="s">
        <v>304</v>
      </c>
      <c r="E324" s="165" t="s">
        <v>90</v>
      </c>
      <c r="F324" s="174" t="s">
        <v>92</v>
      </c>
      <c r="G324" s="167" t="s">
        <v>95</v>
      </c>
      <c r="H324" s="167" t="s">
        <v>96</v>
      </c>
      <c r="I324" s="183" t="s">
        <v>97</v>
      </c>
      <c r="J324" s="166"/>
      <c r="K324" s="151">
        <f>K325</f>
        <v>6985.1</v>
      </c>
      <c r="L324" s="151">
        <f t="shared" si="88"/>
        <v>0</v>
      </c>
      <c r="M324" s="151">
        <f>M325</f>
        <v>6985.1</v>
      </c>
    </row>
    <row r="325" spans="1:13" s="169" customFormat="1" ht="37.5" hidden="1">
      <c r="A325" s="163"/>
      <c r="B325" s="149" t="s">
        <v>285</v>
      </c>
      <c r="C325" s="164" t="s">
        <v>417</v>
      </c>
      <c r="D325" s="165" t="s">
        <v>304</v>
      </c>
      <c r="E325" s="165" t="s">
        <v>90</v>
      </c>
      <c r="F325" s="174" t="s">
        <v>92</v>
      </c>
      <c r="G325" s="167" t="s">
        <v>98</v>
      </c>
      <c r="H325" s="167" t="s">
        <v>96</v>
      </c>
      <c r="I325" s="183" t="s">
        <v>97</v>
      </c>
      <c r="J325" s="166"/>
      <c r="K325" s="151">
        <f>K326</f>
        <v>6985.1</v>
      </c>
      <c r="L325" s="151">
        <f t="shared" si="88"/>
        <v>0</v>
      </c>
      <c r="M325" s="151">
        <f>M326</f>
        <v>6985.1</v>
      </c>
    </row>
    <row r="326" spans="1:13" s="169" customFormat="1" ht="37.5" hidden="1">
      <c r="A326" s="163"/>
      <c r="B326" s="149" t="s">
        <v>373</v>
      </c>
      <c r="C326" s="164" t="s">
        <v>417</v>
      </c>
      <c r="D326" s="165" t="s">
        <v>304</v>
      </c>
      <c r="E326" s="165" t="s">
        <v>90</v>
      </c>
      <c r="F326" s="174" t="s">
        <v>92</v>
      </c>
      <c r="G326" s="167" t="s">
        <v>98</v>
      </c>
      <c r="H326" s="167" t="s">
        <v>90</v>
      </c>
      <c r="I326" s="183" t="s">
        <v>97</v>
      </c>
      <c r="J326" s="166"/>
      <c r="K326" s="151">
        <f>K327</f>
        <v>6985.1</v>
      </c>
      <c r="L326" s="151">
        <f t="shared" si="88"/>
        <v>0</v>
      </c>
      <c r="M326" s="151">
        <f>M327</f>
        <v>6985.1</v>
      </c>
    </row>
    <row r="327" spans="1:13" s="169" customFormat="1" ht="37.5" hidden="1">
      <c r="A327" s="163"/>
      <c r="B327" s="149" t="s">
        <v>287</v>
      </c>
      <c r="C327" s="164" t="s">
        <v>417</v>
      </c>
      <c r="D327" s="165" t="s">
        <v>304</v>
      </c>
      <c r="E327" s="165" t="s">
        <v>90</v>
      </c>
      <c r="F327" s="174" t="s">
        <v>92</v>
      </c>
      <c r="G327" s="167" t="s">
        <v>98</v>
      </c>
      <c r="H327" s="167" t="s">
        <v>90</v>
      </c>
      <c r="I327" s="183" t="s">
        <v>380</v>
      </c>
      <c r="J327" s="166"/>
      <c r="K327" s="151">
        <f>K328</f>
        <v>6985.1</v>
      </c>
      <c r="L327" s="151">
        <f t="shared" si="88"/>
        <v>0</v>
      </c>
      <c r="M327" s="151">
        <f>M328</f>
        <v>6985.1</v>
      </c>
    </row>
    <row r="328" spans="1:13" s="169" customFormat="1" ht="56.25" hidden="1">
      <c r="A328" s="163"/>
      <c r="B328" s="149" t="s">
        <v>282</v>
      </c>
      <c r="C328" s="164" t="s">
        <v>417</v>
      </c>
      <c r="D328" s="165" t="s">
        <v>304</v>
      </c>
      <c r="E328" s="165" t="s">
        <v>90</v>
      </c>
      <c r="F328" s="174" t="s">
        <v>92</v>
      </c>
      <c r="G328" s="167" t="s">
        <v>98</v>
      </c>
      <c r="H328" s="167" t="s">
        <v>90</v>
      </c>
      <c r="I328" s="183" t="s">
        <v>380</v>
      </c>
      <c r="J328" s="166" t="s">
        <v>283</v>
      </c>
      <c r="K328" s="151">
        <f>6985.1</f>
        <v>6985.1</v>
      </c>
      <c r="L328" s="151">
        <f t="shared" si="88"/>
        <v>0</v>
      </c>
      <c r="M328" s="151">
        <f>6985.1</f>
        <v>6985.1</v>
      </c>
    </row>
    <row r="329" spans="1:13" s="169" customFormat="1" ht="18.75" hidden="1">
      <c r="A329" s="163"/>
      <c r="B329" s="149" t="s">
        <v>258</v>
      </c>
      <c r="C329" s="164" t="s">
        <v>417</v>
      </c>
      <c r="D329" s="165" t="s">
        <v>304</v>
      </c>
      <c r="E329" s="165" t="s">
        <v>92</v>
      </c>
      <c r="F329" s="174"/>
      <c r="G329" s="167"/>
      <c r="H329" s="167"/>
      <c r="I329" s="183"/>
      <c r="J329" s="166"/>
      <c r="K329" s="151">
        <f t="shared" ref="K329:M333" si="89">K330</f>
        <v>1500</v>
      </c>
      <c r="L329" s="151">
        <f t="shared" si="89"/>
        <v>-1500</v>
      </c>
      <c r="M329" s="151">
        <f t="shared" si="89"/>
        <v>0</v>
      </c>
    </row>
    <row r="330" spans="1:13" s="169" customFormat="1" ht="56.25" hidden="1">
      <c r="A330" s="163"/>
      <c r="B330" s="149" t="s">
        <v>284</v>
      </c>
      <c r="C330" s="164" t="s">
        <v>417</v>
      </c>
      <c r="D330" s="165" t="s">
        <v>304</v>
      </c>
      <c r="E330" s="165" t="s">
        <v>92</v>
      </c>
      <c r="F330" s="174" t="s">
        <v>92</v>
      </c>
      <c r="G330" s="167" t="s">
        <v>95</v>
      </c>
      <c r="H330" s="167" t="s">
        <v>96</v>
      </c>
      <c r="I330" s="183" t="s">
        <v>97</v>
      </c>
      <c r="J330" s="166"/>
      <c r="K330" s="151">
        <f t="shared" si="89"/>
        <v>1500</v>
      </c>
      <c r="L330" s="151">
        <f t="shared" si="89"/>
        <v>-1500</v>
      </c>
      <c r="M330" s="151">
        <f t="shared" si="89"/>
        <v>0</v>
      </c>
    </row>
    <row r="331" spans="1:13" s="169" customFormat="1" ht="37.5" hidden="1">
      <c r="A331" s="163"/>
      <c r="B331" s="149" t="s">
        <v>285</v>
      </c>
      <c r="C331" s="164" t="s">
        <v>417</v>
      </c>
      <c r="D331" s="165" t="s">
        <v>304</v>
      </c>
      <c r="E331" s="165" t="s">
        <v>92</v>
      </c>
      <c r="F331" s="174" t="s">
        <v>92</v>
      </c>
      <c r="G331" s="167" t="s">
        <v>98</v>
      </c>
      <c r="H331" s="167" t="s">
        <v>96</v>
      </c>
      <c r="I331" s="183" t="s">
        <v>97</v>
      </c>
      <c r="J331" s="166"/>
      <c r="K331" s="151">
        <f t="shared" si="89"/>
        <v>1500</v>
      </c>
      <c r="L331" s="151">
        <f t="shared" si="89"/>
        <v>-1500</v>
      </c>
      <c r="M331" s="151">
        <f t="shared" si="89"/>
        <v>0</v>
      </c>
    </row>
    <row r="332" spans="1:13" s="169" customFormat="1" ht="18.75" hidden="1">
      <c r="A332" s="163"/>
      <c r="B332" s="149" t="s">
        <v>378</v>
      </c>
      <c r="C332" s="164" t="s">
        <v>417</v>
      </c>
      <c r="D332" s="165" t="s">
        <v>304</v>
      </c>
      <c r="E332" s="165" t="s">
        <v>92</v>
      </c>
      <c r="F332" s="174" t="s">
        <v>92</v>
      </c>
      <c r="G332" s="167" t="s">
        <v>98</v>
      </c>
      <c r="H332" s="167" t="s">
        <v>92</v>
      </c>
      <c r="I332" s="183" t="s">
        <v>97</v>
      </c>
      <c r="J332" s="166"/>
      <c r="K332" s="151">
        <f t="shared" si="89"/>
        <v>1500</v>
      </c>
      <c r="L332" s="151">
        <f t="shared" si="89"/>
        <v>-1500</v>
      </c>
      <c r="M332" s="151">
        <f t="shared" si="89"/>
        <v>0</v>
      </c>
    </row>
    <row r="333" spans="1:13" s="169" customFormat="1" ht="37.5" hidden="1">
      <c r="A333" s="163"/>
      <c r="B333" s="149" t="s">
        <v>287</v>
      </c>
      <c r="C333" s="164" t="s">
        <v>417</v>
      </c>
      <c r="D333" s="165" t="s">
        <v>304</v>
      </c>
      <c r="E333" s="165" t="s">
        <v>92</v>
      </c>
      <c r="F333" s="174" t="s">
        <v>92</v>
      </c>
      <c r="G333" s="167" t="s">
        <v>98</v>
      </c>
      <c r="H333" s="167" t="s">
        <v>92</v>
      </c>
      <c r="I333" s="183" t="s">
        <v>380</v>
      </c>
      <c r="J333" s="166"/>
      <c r="K333" s="151">
        <f t="shared" si="89"/>
        <v>1500</v>
      </c>
      <c r="L333" s="151">
        <f t="shared" si="89"/>
        <v>-1500</v>
      </c>
      <c r="M333" s="151">
        <f t="shared" si="89"/>
        <v>0</v>
      </c>
    </row>
    <row r="334" spans="1:13" s="169" customFormat="1" ht="56.25" hidden="1">
      <c r="A334" s="163"/>
      <c r="B334" s="791" t="s">
        <v>282</v>
      </c>
      <c r="C334" s="793" t="s">
        <v>417</v>
      </c>
      <c r="D334" s="794" t="s">
        <v>304</v>
      </c>
      <c r="E334" s="794" t="s">
        <v>92</v>
      </c>
      <c r="F334" s="806" t="s">
        <v>92</v>
      </c>
      <c r="G334" s="796" t="s">
        <v>98</v>
      </c>
      <c r="H334" s="796" t="s">
        <v>92</v>
      </c>
      <c r="I334" s="807" t="s">
        <v>380</v>
      </c>
      <c r="J334" s="798" t="s">
        <v>283</v>
      </c>
      <c r="K334" s="799">
        <v>1500</v>
      </c>
      <c r="L334" s="706">
        <f>M334-K334</f>
        <v>-1500</v>
      </c>
      <c r="M334" s="799">
        <f>1500-1500</f>
        <v>0</v>
      </c>
    </row>
    <row r="335" spans="1:13" s="169" customFormat="1" ht="18.75" hidden="1">
      <c r="A335" s="163"/>
      <c r="B335" s="159" t="s">
        <v>269</v>
      </c>
      <c r="C335" s="164" t="s">
        <v>417</v>
      </c>
      <c r="D335" s="165" t="s">
        <v>139</v>
      </c>
      <c r="E335" s="165"/>
      <c r="F335" s="174"/>
      <c r="G335" s="167"/>
      <c r="H335" s="167"/>
      <c r="I335" s="183"/>
      <c r="J335" s="166"/>
      <c r="K335" s="626">
        <f>K336</f>
        <v>8508.1</v>
      </c>
      <c r="L335" s="626">
        <f>L336</f>
        <v>0</v>
      </c>
      <c r="M335" s="626">
        <f>M336</f>
        <v>8508.1</v>
      </c>
    </row>
    <row r="336" spans="1:13" s="169" customFormat="1" ht="18.75" hidden="1">
      <c r="A336" s="163"/>
      <c r="B336" s="659" t="s">
        <v>271</v>
      </c>
      <c r="C336" s="164" t="s">
        <v>417</v>
      </c>
      <c r="D336" s="165" t="s">
        <v>139</v>
      </c>
      <c r="E336" s="165" t="s">
        <v>92</v>
      </c>
      <c r="F336" s="175"/>
      <c r="G336" s="167"/>
      <c r="H336" s="167"/>
      <c r="I336" s="168"/>
      <c r="J336" s="166"/>
      <c r="K336" s="626">
        <f t="shared" ref="K336:M336" si="90">K337</f>
        <v>8508.1</v>
      </c>
      <c r="L336" s="626">
        <f t="shared" si="90"/>
        <v>0</v>
      </c>
      <c r="M336" s="626">
        <f t="shared" si="90"/>
        <v>8508.1</v>
      </c>
    </row>
    <row r="337" spans="1:13" s="169" customFormat="1" ht="56.25" hidden="1">
      <c r="A337" s="163"/>
      <c r="B337" s="159" t="s">
        <v>305</v>
      </c>
      <c r="C337" s="164" t="s">
        <v>417</v>
      </c>
      <c r="D337" s="165" t="s">
        <v>139</v>
      </c>
      <c r="E337" s="165" t="s">
        <v>92</v>
      </c>
      <c r="F337" s="174" t="s">
        <v>306</v>
      </c>
      <c r="G337" s="167" t="s">
        <v>95</v>
      </c>
      <c r="H337" s="167" t="s">
        <v>96</v>
      </c>
      <c r="I337" s="168" t="s">
        <v>97</v>
      </c>
      <c r="J337" s="166"/>
      <c r="K337" s="626">
        <f>K338</f>
        <v>8508.1</v>
      </c>
      <c r="L337" s="626">
        <f>L338</f>
        <v>0</v>
      </c>
      <c r="M337" s="626">
        <f>M338</f>
        <v>8508.1</v>
      </c>
    </row>
    <row r="338" spans="1:13" s="169" customFormat="1" ht="37.5" hidden="1">
      <c r="A338" s="163"/>
      <c r="B338" s="665" t="s">
        <v>491</v>
      </c>
      <c r="C338" s="164" t="s">
        <v>417</v>
      </c>
      <c r="D338" s="165" t="s">
        <v>139</v>
      </c>
      <c r="E338" s="165" t="s">
        <v>92</v>
      </c>
      <c r="F338" s="174" t="s">
        <v>306</v>
      </c>
      <c r="G338" s="167" t="s">
        <v>83</v>
      </c>
      <c r="H338" s="167" t="s">
        <v>96</v>
      </c>
      <c r="I338" s="168" t="s">
        <v>97</v>
      </c>
      <c r="J338" s="166"/>
      <c r="K338" s="626">
        <f t="shared" ref="K338:M338" si="91">K339</f>
        <v>8508.1</v>
      </c>
      <c r="L338" s="626">
        <f t="shared" si="91"/>
        <v>0</v>
      </c>
      <c r="M338" s="626">
        <f t="shared" si="91"/>
        <v>8508.1</v>
      </c>
    </row>
    <row r="339" spans="1:13" s="169" customFormat="1" ht="75" hidden="1">
      <c r="A339" s="163"/>
      <c r="B339" s="159" t="s">
        <v>808</v>
      </c>
      <c r="C339" s="164" t="s">
        <v>417</v>
      </c>
      <c r="D339" s="165" t="s">
        <v>139</v>
      </c>
      <c r="E339" s="165" t="s">
        <v>92</v>
      </c>
      <c r="F339" s="174" t="s">
        <v>306</v>
      </c>
      <c r="G339" s="167" t="s">
        <v>83</v>
      </c>
      <c r="H339" s="167" t="s">
        <v>121</v>
      </c>
      <c r="I339" s="168" t="s">
        <v>97</v>
      </c>
      <c r="J339" s="166"/>
      <c r="K339" s="626">
        <f>K340</f>
        <v>8508.1</v>
      </c>
      <c r="L339" s="626">
        <f>L340</f>
        <v>0</v>
      </c>
      <c r="M339" s="626">
        <f>M340</f>
        <v>8508.1</v>
      </c>
    </row>
    <row r="340" spans="1:13" s="178" customFormat="1" ht="187.5" hidden="1">
      <c r="A340" s="639"/>
      <c r="B340" s="666" t="s">
        <v>539</v>
      </c>
      <c r="C340" s="667" t="s">
        <v>417</v>
      </c>
      <c r="D340" s="668" t="s">
        <v>139</v>
      </c>
      <c r="E340" s="668" t="s">
        <v>92</v>
      </c>
      <c r="F340" s="174" t="s">
        <v>306</v>
      </c>
      <c r="G340" s="167" t="s">
        <v>83</v>
      </c>
      <c r="H340" s="167" t="s">
        <v>121</v>
      </c>
      <c r="I340" s="669" t="s">
        <v>540</v>
      </c>
      <c r="J340" s="646"/>
      <c r="K340" s="647">
        <f t="shared" ref="K340:M340" si="92">K341</f>
        <v>8508.1</v>
      </c>
      <c r="L340" s="647">
        <f t="shared" si="92"/>
        <v>0</v>
      </c>
      <c r="M340" s="647">
        <f t="shared" si="92"/>
        <v>8508.1</v>
      </c>
    </row>
    <row r="341" spans="1:13" s="178" customFormat="1" ht="56.25" hidden="1">
      <c r="A341" s="180"/>
      <c r="B341" s="670" t="s">
        <v>282</v>
      </c>
      <c r="C341" s="671" t="s">
        <v>417</v>
      </c>
      <c r="D341" s="672" t="s">
        <v>139</v>
      </c>
      <c r="E341" s="672" t="s">
        <v>92</v>
      </c>
      <c r="F341" s="174" t="s">
        <v>306</v>
      </c>
      <c r="G341" s="167" t="s">
        <v>83</v>
      </c>
      <c r="H341" s="167" t="s">
        <v>121</v>
      </c>
      <c r="I341" s="645" t="s">
        <v>540</v>
      </c>
      <c r="J341" s="650" t="s">
        <v>283</v>
      </c>
      <c r="K341" s="651">
        <v>8508.1</v>
      </c>
      <c r="L341" s="151">
        <f>M341-K341</f>
        <v>0</v>
      </c>
      <c r="M341" s="651">
        <v>8508.1</v>
      </c>
    </row>
    <row r="342" spans="1:13" s="178" customFormat="1" ht="18.75" hidden="1">
      <c r="A342" s="180"/>
      <c r="B342" s="156" t="s">
        <v>182</v>
      </c>
      <c r="C342" s="164" t="s">
        <v>417</v>
      </c>
      <c r="D342" s="165" t="s">
        <v>167</v>
      </c>
      <c r="E342" s="165"/>
      <c r="F342" s="174"/>
      <c r="G342" s="181"/>
      <c r="H342" s="181"/>
      <c r="I342" s="660"/>
      <c r="J342" s="661"/>
      <c r="K342" s="662">
        <f t="shared" ref="K342:M345" si="93">K343</f>
        <v>42373.700000000004</v>
      </c>
      <c r="L342" s="662">
        <f t="shared" si="93"/>
        <v>0</v>
      </c>
      <c r="M342" s="662">
        <f t="shared" si="93"/>
        <v>42373.700000000004</v>
      </c>
    </row>
    <row r="343" spans="1:13" s="178" customFormat="1" ht="18.75" hidden="1">
      <c r="A343" s="180"/>
      <c r="B343" s="156" t="s">
        <v>272</v>
      </c>
      <c r="C343" s="164" t="s">
        <v>417</v>
      </c>
      <c r="D343" s="165" t="s">
        <v>167</v>
      </c>
      <c r="E343" s="165" t="s">
        <v>105</v>
      </c>
      <c r="F343" s="174"/>
      <c r="G343" s="181"/>
      <c r="H343" s="181"/>
      <c r="I343" s="660"/>
      <c r="J343" s="661"/>
      <c r="K343" s="662">
        <f t="shared" si="93"/>
        <v>42373.700000000004</v>
      </c>
      <c r="L343" s="662">
        <f t="shared" si="93"/>
        <v>0</v>
      </c>
      <c r="M343" s="662">
        <f t="shared" si="93"/>
        <v>42373.700000000004</v>
      </c>
    </row>
    <row r="344" spans="1:13" s="178" customFormat="1" ht="56.25" hidden="1">
      <c r="A344" s="180"/>
      <c r="B344" s="159" t="s">
        <v>407</v>
      </c>
      <c r="C344" s="164" t="s">
        <v>417</v>
      </c>
      <c r="D344" s="165" t="s">
        <v>167</v>
      </c>
      <c r="E344" s="165" t="s">
        <v>105</v>
      </c>
      <c r="F344" s="778" t="s">
        <v>139</v>
      </c>
      <c r="G344" s="779" t="s">
        <v>95</v>
      </c>
      <c r="H344" s="779" t="s">
        <v>96</v>
      </c>
      <c r="I344" s="780" t="s">
        <v>97</v>
      </c>
      <c r="J344" s="661"/>
      <c r="K344" s="662">
        <f t="shared" si="93"/>
        <v>42373.700000000004</v>
      </c>
      <c r="L344" s="662">
        <f t="shared" si="93"/>
        <v>0</v>
      </c>
      <c r="M344" s="662">
        <f t="shared" si="93"/>
        <v>42373.700000000004</v>
      </c>
    </row>
    <row r="345" spans="1:13" s="178" customFormat="1" ht="37.5" hidden="1">
      <c r="A345" s="180"/>
      <c r="B345" s="149" t="s">
        <v>491</v>
      </c>
      <c r="C345" s="164" t="s">
        <v>417</v>
      </c>
      <c r="D345" s="165" t="s">
        <v>167</v>
      </c>
      <c r="E345" s="165" t="s">
        <v>105</v>
      </c>
      <c r="F345" s="174" t="s">
        <v>139</v>
      </c>
      <c r="G345" s="181" t="s">
        <v>98</v>
      </c>
      <c r="H345" s="779" t="s">
        <v>96</v>
      </c>
      <c r="I345" s="780" t="s">
        <v>97</v>
      </c>
      <c r="J345" s="661"/>
      <c r="K345" s="662">
        <f t="shared" si="93"/>
        <v>42373.700000000004</v>
      </c>
      <c r="L345" s="662">
        <f t="shared" si="93"/>
        <v>0</v>
      </c>
      <c r="M345" s="662">
        <f t="shared" si="93"/>
        <v>42373.700000000004</v>
      </c>
    </row>
    <row r="346" spans="1:13" s="178" customFormat="1" ht="73.900000000000006" hidden="1" customHeight="1">
      <c r="A346" s="180"/>
      <c r="B346" s="159" t="s">
        <v>421</v>
      </c>
      <c r="C346" s="164" t="s">
        <v>417</v>
      </c>
      <c r="D346" s="165" t="s">
        <v>167</v>
      </c>
      <c r="E346" s="165" t="s">
        <v>105</v>
      </c>
      <c r="F346" s="174" t="s">
        <v>139</v>
      </c>
      <c r="G346" s="181" t="s">
        <v>98</v>
      </c>
      <c r="H346" s="181" t="s">
        <v>92</v>
      </c>
      <c r="I346" s="780" t="s">
        <v>97</v>
      </c>
      <c r="J346" s="673"/>
      <c r="K346" s="662">
        <f>K349+K347</f>
        <v>42373.700000000004</v>
      </c>
      <c r="L346" s="662">
        <f>L349+L347</f>
        <v>0</v>
      </c>
      <c r="M346" s="662">
        <f>M349+M347</f>
        <v>42373.700000000004</v>
      </c>
    </row>
    <row r="347" spans="1:13" s="178" customFormat="1" ht="87.6" hidden="1" customHeight="1">
      <c r="A347" s="180"/>
      <c r="B347" s="801" t="s">
        <v>422</v>
      </c>
      <c r="C347" s="793" t="s">
        <v>417</v>
      </c>
      <c r="D347" s="794" t="s">
        <v>167</v>
      </c>
      <c r="E347" s="794" t="s">
        <v>105</v>
      </c>
      <c r="F347" s="806" t="s">
        <v>139</v>
      </c>
      <c r="G347" s="802" t="s">
        <v>98</v>
      </c>
      <c r="H347" s="802" t="s">
        <v>92</v>
      </c>
      <c r="I347" s="807" t="s">
        <v>820</v>
      </c>
      <c r="J347" s="835"/>
      <c r="K347" s="706">
        <f>K348</f>
        <v>34180.200000000004</v>
      </c>
      <c r="L347" s="706">
        <f>L348</f>
        <v>0</v>
      </c>
      <c r="M347" s="706">
        <f>M348</f>
        <v>34180.200000000004</v>
      </c>
    </row>
    <row r="348" spans="1:13" s="178" customFormat="1" ht="59.45" hidden="1" customHeight="1">
      <c r="A348" s="180"/>
      <c r="B348" s="801" t="s">
        <v>282</v>
      </c>
      <c r="C348" s="793" t="s">
        <v>417</v>
      </c>
      <c r="D348" s="794" t="s">
        <v>167</v>
      </c>
      <c r="E348" s="794" t="s">
        <v>105</v>
      </c>
      <c r="F348" s="806" t="s">
        <v>139</v>
      </c>
      <c r="G348" s="802" t="s">
        <v>98</v>
      </c>
      <c r="H348" s="802" t="s">
        <v>92</v>
      </c>
      <c r="I348" s="807" t="s">
        <v>820</v>
      </c>
      <c r="J348" s="835" t="s">
        <v>283</v>
      </c>
      <c r="K348" s="805">
        <f>34956.9-776.7</f>
        <v>34180.200000000004</v>
      </c>
      <c r="L348" s="706">
        <f>M348-K348</f>
        <v>0</v>
      </c>
      <c r="M348" s="805">
        <f>34956.9-776.7</f>
        <v>34180.200000000004</v>
      </c>
    </row>
    <row r="349" spans="1:13" s="178" customFormat="1" ht="112.5" hidden="1">
      <c r="A349" s="180"/>
      <c r="B349" s="801" t="s">
        <v>422</v>
      </c>
      <c r="C349" s="793" t="s">
        <v>417</v>
      </c>
      <c r="D349" s="794" t="s">
        <v>167</v>
      </c>
      <c r="E349" s="794" t="s">
        <v>105</v>
      </c>
      <c r="F349" s="806" t="s">
        <v>139</v>
      </c>
      <c r="G349" s="802" t="s">
        <v>98</v>
      </c>
      <c r="H349" s="802" t="s">
        <v>92</v>
      </c>
      <c r="I349" s="807" t="s">
        <v>423</v>
      </c>
      <c r="J349" s="835"/>
      <c r="K349" s="706">
        <f>K350</f>
        <v>8193.5</v>
      </c>
      <c r="L349" s="706">
        <f>L350</f>
        <v>0</v>
      </c>
      <c r="M349" s="706">
        <f>M350</f>
        <v>8193.5</v>
      </c>
    </row>
    <row r="350" spans="1:13" s="178" customFormat="1" ht="56.25" hidden="1">
      <c r="A350" s="180"/>
      <c r="B350" s="801" t="s">
        <v>282</v>
      </c>
      <c r="C350" s="793" t="s">
        <v>417</v>
      </c>
      <c r="D350" s="794" t="s">
        <v>167</v>
      </c>
      <c r="E350" s="794" t="s">
        <v>105</v>
      </c>
      <c r="F350" s="806" t="s">
        <v>139</v>
      </c>
      <c r="G350" s="802" t="s">
        <v>98</v>
      </c>
      <c r="H350" s="802" t="s">
        <v>92</v>
      </c>
      <c r="I350" s="807" t="s">
        <v>423</v>
      </c>
      <c r="J350" s="835" t="s">
        <v>283</v>
      </c>
      <c r="K350" s="805">
        <f>7759.1+434.4</f>
        <v>8193.5</v>
      </c>
      <c r="L350" s="706">
        <f>M350-K350</f>
        <v>0</v>
      </c>
      <c r="M350" s="805">
        <f>7759.1+434.4</f>
        <v>8193.5</v>
      </c>
    </row>
    <row r="351" spans="1:13" s="178" customFormat="1" ht="18.75" hidden="1">
      <c r="A351" s="180"/>
      <c r="B351" s="157" t="s">
        <v>463</v>
      </c>
      <c r="C351" s="164" t="s">
        <v>417</v>
      </c>
      <c r="D351" s="165" t="s">
        <v>123</v>
      </c>
      <c r="E351" s="165"/>
      <c r="F351" s="174"/>
      <c r="G351" s="181"/>
      <c r="H351" s="181"/>
      <c r="I351" s="183"/>
      <c r="J351" s="184"/>
      <c r="K351" s="674">
        <f t="shared" ref="K351:M356" si="94">K352</f>
        <v>25646.699999999997</v>
      </c>
      <c r="L351" s="151">
        <f t="shared" ref="L351:L352" si="95">M351-K351</f>
        <v>0</v>
      </c>
      <c r="M351" s="674">
        <f t="shared" si="94"/>
        <v>25646.699999999997</v>
      </c>
    </row>
    <row r="352" spans="1:13" s="178" customFormat="1" ht="18.75" hidden="1">
      <c r="A352" s="180"/>
      <c r="B352" s="157" t="s">
        <v>538</v>
      </c>
      <c r="C352" s="164" t="s">
        <v>417</v>
      </c>
      <c r="D352" s="165" t="s">
        <v>123</v>
      </c>
      <c r="E352" s="165" t="s">
        <v>90</v>
      </c>
      <c r="F352" s="174"/>
      <c r="G352" s="181"/>
      <c r="H352" s="181"/>
      <c r="I352" s="183"/>
      <c r="J352" s="184"/>
      <c r="K352" s="674">
        <f t="shared" si="94"/>
        <v>25646.699999999997</v>
      </c>
      <c r="L352" s="151">
        <f t="shared" si="95"/>
        <v>0</v>
      </c>
      <c r="M352" s="674">
        <f t="shared" si="94"/>
        <v>25646.699999999997</v>
      </c>
    </row>
    <row r="353" spans="1:14" s="178" customFormat="1" ht="56.25" hidden="1">
      <c r="A353" s="180"/>
      <c r="B353" s="159" t="s">
        <v>297</v>
      </c>
      <c r="C353" s="164" t="s">
        <v>417</v>
      </c>
      <c r="D353" s="165" t="s">
        <v>123</v>
      </c>
      <c r="E353" s="165" t="s">
        <v>90</v>
      </c>
      <c r="F353" s="174" t="s">
        <v>105</v>
      </c>
      <c r="G353" s="181" t="s">
        <v>95</v>
      </c>
      <c r="H353" s="181" t="s">
        <v>96</v>
      </c>
      <c r="I353" s="183" t="s">
        <v>97</v>
      </c>
      <c r="J353" s="184"/>
      <c r="K353" s="674">
        <f t="shared" si="94"/>
        <v>25646.699999999997</v>
      </c>
      <c r="L353" s="151">
        <f t="shared" ref="L353:L359" si="96">M353-K353</f>
        <v>0</v>
      </c>
      <c r="M353" s="674">
        <f t="shared" si="94"/>
        <v>25646.699999999997</v>
      </c>
    </row>
    <row r="354" spans="1:14" s="178" customFormat="1" ht="37.5" hidden="1">
      <c r="A354" s="180"/>
      <c r="B354" s="159" t="s">
        <v>491</v>
      </c>
      <c r="C354" s="164" t="s">
        <v>417</v>
      </c>
      <c r="D354" s="165" t="s">
        <v>123</v>
      </c>
      <c r="E354" s="165" t="s">
        <v>90</v>
      </c>
      <c r="F354" s="174" t="s">
        <v>105</v>
      </c>
      <c r="G354" s="181" t="s">
        <v>84</v>
      </c>
      <c r="H354" s="181" t="s">
        <v>96</v>
      </c>
      <c r="I354" s="183" t="s">
        <v>97</v>
      </c>
      <c r="J354" s="184"/>
      <c r="K354" s="674">
        <f t="shared" si="94"/>
        <v>25646.699999999997</v>
      </c>
      <c r="L354" s="674">
        <f t="shared" ref="L354" si="97">L355</f>
        <v>0</v>
      </c>
      <c r="M354" s="674">
        <f t="shared" si="94"/>
        <v>25646.699999999997</v>
      </c>
    </row>
    <row r="355" spans="1:14" s="178" customFormat="1" ht="75" hidden="1">
      <c r="A355" s="180"/>
      <c r="B355" s="159" t="s">
        <v>836</v>
      </c>
      <c r="C355" s="164" t="s">
        <v>417</v>
      </c>
      <c r="D355" s="165" t="s">
        <v>123</v>
      </c>
      <c r="E355" s="165" t="s">
        <v>90</v>
      </c>
      <c r="F355" s="174" t="s">
        <v>105</v>
      </c>
      <c r="G355" s="181" t="s">
        <v>84</v>
      </c>
      <c r="H355" s="181" t="s">
        <v>119</v>
      </c>
      <c r="I355" s="183" t="s">
        <v>97</v>
      </c>
      <c r="J355" s="184"/>
      <c r="K355" s="674">
        <f t="shared" ref="K355" si="98">K356+K358</f>
        <v>25646.699999999997</v>
      </c>
      <c r="L355" s="674">
        <f t="shared" ref="L355:M355" si="99">L356+L358</f>
        <v>0</v>
      </c>
      <c r="M355" s="674">
        <f t="shared" si="99"/>
        <v>25646.699999999997</v>
      </c>
    </row>
    <row r="356" spans="1:14" s="178" customFormat="1" ht="56.25" hidden="1">
      <c r="A356" s="180"/>
      <c r="B356" s="159" t="s">
        <v>299</v>
      </c>
      <c r="C356" s="164" t="s">
        <v>417</v>
      </c>
      <c r="D356" s="165" t="s">
        <v>123</v>
      </c>
      <c r="E356" s="165" t="s">
        <v>90</v>
      </c>
      <c r="F356" s="174" t="s">
        <v>105</v>
      </c>
      <c r="G356" s="181" t="s">
        <v>84</v>
      </c>
      <c r="H356" s="181" t="s">
        <v>119</v>
      </c>
      <c r="I356" s="183" t="s">
        <v>400</v>
      </c>
      <c r="J356" s="184"/>
      <c r="K356" s="674">
        <f t="shared" si="94"/>
        <v>555.10000000000014</v>
      </c>
      <c r="L356" s="151">
        <f t="shared" si="96"/>
        <v>0</v>
      </c>
      <c r="M356" s="674">
        <f t="shared" si="94"/>
        <v>555.10000000000014</v>
      </c>
    </row>
    <row r="357" spans="1:14" s="178" customFormat="1" ht="56.25" hidden="1">
      <c r="A357" s="180"/>
      <c r="B357" s="149" t="s">
        <v>282</v>
      </c>
      <c r="C357" s="164" t="s">
        <v>417</v>
      </c>
      <c r="D357" s="165" t="s">
        <v>123</v>
      </c>
      <c r="E357" s="165" t="s">
        <v>90</v>
      </c>
      <c r="F357" s="174" t="s">
        <v>105</v>
      </c>
      <c r="G357" s="181" t="s">
        <v>84</v>
      </c>
      <c r="H357" s="181" t="s">
        <v>119</v>
      </c>
      <c r="I357" s="183" t="s">
        <v>400</v>
      </c>
      <c r="J357" s="184" t="s">
        <v>283</v>
      </c>
      <c r="K357" s="674">
        <f>1809.7-1254.6</f>
        <v>555.10000000000014</v>
      </c>
      <c r="L357" s="151">
        <f t="shared" si="96"/>
        <v>0</v>
      </c>
      <c r="M357" s="674">
        <f>1809.7-1254.6</f>
        <v>555.10000000000014</v>
      </c>
    </row>
    <row r="358" spans="1:14" s="178" customFormat="1" ht="37.5" hidden="1">
      <c r="A358" s="180"/>
      <c r="B358" s="149" t="s">
        <v>854</v>
      </c>
      <c r="C358" s="164" t="s">
        <v>417</v>
      </c>
      <c r="D358" s="165" t="s">
        <v>123</v>
      </c>
      <c r="E358" s="165" t="s">
        <v>90</v>
      </c>
      <c r="F358" s="174" t="s">
        <v>105</v>
      </c>
      <c r="G358" s="181" t="s">
        <v>84</v>
      </c>
      <c r="H358" s="181" t="s">
        <v>119</v>
      </c>
      <c r="I358" s="183" t="s">
        <v>845</v>
      </c>
      <c r="J358" s="184"/>
      <c r="K358" s="674">
        <f>K359</f>
        <v>25091.599999999999</v>
      </c>
      <c r="L358" s="151">
        <f>L359</f>
        <v>0</v>
      </c>
      <c r="M358" s="674">
        <f>M359</f>
        <v>25091.599999999999</v>
      </c>
    </row>
    <row r="359" spans="1:14" s="178" customFormat="1" ht="56.25" hidden="1">
      <c r="A359" s="180"/>
      <c r="B359" s="149" t="s">
        <v>282</v>
      </c>
      <c r="C359" s="164" t="s">
        <v>417</v>
      </c>
      <c r="D359" s="165" t="s">
        <v>123</v>
      </c>
      <c r="E359" s="165" t="s">
        <v>90</v>
      </c>
      <c r="F359" s="174" t="s">
        <v>105</v>
      </c>
      <c r="G359" s="181" t="s">
        <v>84</v>
      </c>
      <c r="H359" s="181" t="s">
        <v>119</v>
      </c>
      <c r="I359" s="183" t="s">
        <v>845</v>
      </c>
      <c r="J359" s="184" t="s">
        <v>283</v>
      </c>
      <c r="K359" s="674">
        <f>23837+1254.6</f>
        <v>25091.599999999999</v>
      </c>
      <c r="L359" s="151">
        <f t="shared" si="96"/>
        <v>0</v>
      </c>
      <c r="M359" s="674">
        <f>23837+1254.6</f>
        <v>25091.599999999999</v>
      </c>
    </row>
    <row r="360" spans="1:14" s="178" customFormat="1" ht="18.75" hidden="1">
      <c r="A360" s="180"/>
      <c r="B360" s="149"/>
      <c r="C360" s="164"/>
      <c r="D360" s="165"/>
      <c r="E360" s="165"/>
      <c r="F360" s="174"/>
      <c r="G360" s="181"/>
      <c r="H360" s="181"/>
      <c r="I360" s="183"/>
      <c r="J360" s="184"/>
      <c r="K360" s="229"/>
      <c r="L360" s="229"/>
      <c r="M360" s="229"/>
    </row>
    <row r="361" spans="1:14" s="148" customFormat="1" ht="56.25" hidden="1">
      <c r="A361" s="141">
        <v>5</v>
      </c>
      <c r="B361" s="142" t="s">
        <v>54</v>
      </c>
      <c r="C361" s="143" t="s">
        <v>372</v>
      </c>
      <c r="D361" s="144"/>
      <c r="E361" s="144"/>
      <c r="F361" s="145"/>
      <c r="G361" s="146"/>
      <c r="H361" s="146"/>
      <c r="I361" s="147"/>
      <c r="J361" s="144"/>
      <c r="K361" s="228">
        <f>K362+K497</f>
        <v>922938.0517699999</v>
      </c>
      <c r="L361" s="228">
        <f>L362+L497</f>
        <v>12088.699999999999</v>
      </c>
      <c r="M361" s="228">
        <f>M362+M497</f>
        <v>935026.73176999984</v>
      </c>
    </row>
    <row r="362" spans="1:14" s="152" customFormat="1" ht="18.75" hidden="1">
      <c r="A362" s="140"/>
      <c r="B362" s="149" t="s">
        <v>254</v>
      </c>
      <c r="C362" s="150" t="s">
        <v>372</v>
      </c>
      <c r="D362" s="139" t="s">
        <v>304</v>
      </c>
      <c r="E362" s="139"/>
      <c r="F362" s="778"/>
      <c r="G362" s="779"/>
      <c r="H362" s="779"/>
      <c r="I362" s="780"/>
      <c r="J362" s="139"/>
      <c r="K362" s="151">
        <f>K363+K388+K468+K477+K438</f>
        <v>913868.85176999995</v>
      </c>
      <c r="L362" s="151">
        <f>L363+L388+L468+L477+L438</f>
        <v>12088.699999999999</v>
      </c>
      <c r="M362" s="151">
        <f>M363+M388+M468+M477+M438</f>
        <v>925957.53176999989</v>
      </c>
    </row>
    <row r="363" spans="1:14" s="148" customFormat="1" ht="18.75" hidden="1">
      <c r="A363" s="140"/>
      <c r="B363" s="149" t="s">
        <v>256</v>
      </c>
      <c r="C363" s="150" t="s">
        <v>372</v>
      </c>
      <c r="D363" s="139" t="s">
        <v>304</v>
      </c>
      <c r="E363" s="139" t="s">
        <v>90</v>
      </c>
      <c r="F363" s="778"/>
      <c r="G363" s="779"/>
      <c r="H363" s="779"/>
      <c r="I363" s="780"/>
      <c r="J363" s="139"/>
      <c r="K363" s="151">
        <f>K364+K383</f>
        <v>303329</v>
      </c>
      <c r="L363" s="151">
        <f>L364+L383</f>
        <v>727.17599999999652</v>
      </c>
      <c r="M363" s="151">
        <f>M364+M383-0.01</f>
        <v>304056.16599999997</v>
      </c>
      <c r="N363" s="841">
        <v>-0.01</v>
      </c>
    </row>
    <row r="364" spans="1:14" s="148" customFormat="1" ht="56.25" hidden="1">
      <c r="A364" s="140"/>
      <c r="B364" s="149" t="s">
        <v>284</v>
      </c>
      <c r="C364" s="150" t="s">
        <v>372</v>
      </c>
      <c r="D364" s="139" t="s">
        <v>304</v>
      </c>
      <c r="E364" s="139" t="s">
        <v>90</v>
      </c>
      <c r="F364" s="778" t="s">
        <v>92</v>
      </c>
      <c r="G364" s="779" t="s">
        <v>95</v>
      </c>
      <c r="H364" s="779" t="s">
        <v>96</v>
      </c>
      <c r="I364" s="780" t="s">
        <v>97</v>
      </c>
      <c r="J364" s="139"/>
      <c r="K364" s="151">
        <f t="shared" ref="K364:M365" si="100">K365</f>
        <v>303238.40000000002</v>
      </c>
      <c r="L364" s="151">
        <f t="shared" si="100"/>
        <v>727.17599999999652</v>
      </c>
      <c r="M364" s="151">
        <f t="shared" si="100"/>
        <v>303965.576</v>
      </c>
    </row>
    <row r="365" spans="1:14" s="148" customFormat="1" ht="37.5" hidden="1">
      <c r="A365" s="140"/>
      <c r="B365" s="149" t="s">
        <v>285</v>
      </c>
      <c r="C365" s="150" t="s">
        <v>372</v>
      </c>
      <c r="D365" s="139" t="s">
        <v>304</v>
      </c>
      <c r="E365" s="139" t="s">
        <v>90</v>
      </c>
      <c r="F365" s="778" t="s">
        <v>92</v>
      </c>
      <c r="G365" s="779" t="s">
        <v>98</v>
      </c>
      <c r="H365" s="779" t="s">
        <v>96</v>
      </c>
      <c r="I365" s="780" t="s">
        <v>97</v>
      </c>
      <c r="J365" s="139"/>
      <c r="K365" s="151">
        <f t="shared" si="100"/>
        <v>303238.40000000002</v>
      </c>
      <c r="L365" s="151">
        <f t="shared" si="100"/>
        <v>727.17599999999652</v>
      </c>
      <c r="M365" s="151">
        <f t="shared" si="100"/>
        <v>303965.576</v>
      </c>
    </row>
    <row r="366" spans="1:14" s="148" customFormat="1" ht="37.5" hidden="1">
      <c r="A366" s="140"/>
      <c r="B366" s="149" t="s">
        <v>373</v>
      </c>
      <c r="C366" s="150" t="s">
        <v>372</v>
      </c>
      <c r="D366" s="139" t="s">
        <v>304</v>
      </c>
      <c r="E366" s="139" t="s">
        <v>90</v>
      </c>
      <c r="F366" s="778" t="s">
        <v>92</v>
      </c>
      <c r="G366" s="779" t="s">
        <v>98</v>
      </c>
      <c r="H366" s="779" t="s">
        <v>90</v>
      </c>
      <c r="I366" s="780" t="s">
        <v>97</v>
      </c>
      <c r="J366" s="139"/>
      <c r="K366" s="151">
        <f>K375+K377+K367+K371+K373+K369+K381+K379</f>
        <v>303238.40000000002</v>
      </c>
      <c r="L366" s="151">
        <f>L375+L377+L367+L371+L373+L369+L381+L379</f>
        <v>727.17599999999652</v>
      </c>
      <c r="M366" s="151">
        <f>M375+M377+M367+M371+M373+M369+M381+M379</f>
        <v>303965.576</v>
      </c>
    </row>
    <row r="367" spans="1:14" s="153" customFormat="1" ht="76.900000000000006" hidden="1" customHeight="1">
      <c r="A367" s="140"/>
      <c r="B367" s="149" t="s">
        <v>151</v>
      </c>
      <c r="C367" s="150" t="s">
        <v>372</v>
      </c>
      <c r="D367" s="139" t="s">
        <v>304</v>
      </c>
      <c r="E367" s="139" t="s">
        <v>90</v>
      </c>
      <c r="F367" s="778" t="s">
        <v>92</v>
      </c>
      <c r="G367" s="779" t="s">
        <v>98</v>
      </c>
      <c r="H367" s="779" t="s">
        <v>90</v>
      </c>
      <c r="I367" s="780" t="s">
        <v>153</v>
      </c>
      <c r="J367" s="139"/>
      <c r="K367" s="151">
        <f t="shared" ref="K367:M367" si="101">K368</f>
        <v>88166.6</v>
      </c>
      <c r="L367" s="151">
        <f>L368</f>
        <v>179.69999999999709</v>
      </c>
      <c r="M367" s="151">
        <f t="shared" si="101"/>
        <v>88346.3</v>
      </c>
    </row>
    <row r="368" spans="1:14" s="153" customFormat="1" ht="56.25" hidden="1">
      <c r="A368" s="140"/>
      <c r="B368" s="791" t="s">
        <v>135</v>
      </c>
      <c r="C368" s="785" t="s">
        <v>372</v>
      </c>
      <c r="D368" s="786" t="s">
        <v>304</v>
      </c>
      <c r="E368" s="786" t="s">
        <v>90</v>
      </c>
      <c r="F368" s="787" t="s">
        <v>92</v>
      </c>
      <c r="G368" s="788" t="s">
        <v>98</v>
      </c>
      <c r="H368" s="788" t="s">
        <v>90</v>
      </c>
      <c r="I368" s="789" t="s">
        <v>153</v>
      </c>
      <c r="J368" s="786" t="s">
        <v>136</v>
      </c>
      <c r="K368" s="706">
        <f>87261.6+1000-95</f>
        <v>88166.6</v>
      </c>
      <c r="L368" s="706">
        <f>M368-K368</f>
        <v>179.69999999999709</v>
      </c>
      <c r="M368" s="706">
        <f>87261.6+1000-95+179.7</f>
        <v>88346.3</v>
      </c>
    </row>
    <row r="369" spans="1:13" s="153" customFormat="1" ht="37.5" hidden="1">
      <c r="A369" s="140"/>
      <c r="B369" s="149" t="s">
        <v>619</v>
      </c>
      <c r="C369" s="150" t="s">
        <v>372</v>
      </c>
      <c r="D369" s="139" t="s">
        <v>304</v>
      </c>
      <c r="E369" s="139" t="s">
        <v>90</v>
      </c>
      <c r="F369" s="778" t="s">
        <v>92</v>
      </c>
      <c r="G369" s="779" t="s">
        <v>98</v>
      </c>
      <c r="H369" s="779" t="s">
        <v>90</v>
      </c>
      <c r="I369" s="780" t="s">
        <v>618</v>
      </c>
      <c r="J369" s="139"/>
      <c r="K369" s="151">
        <f>K370</f>
        <v>951.8</v>
      </c>
      <c r="L369" s="151">
        <f>L370</f>
        <v>-592.70000000000005</v>
      </c>
      <c r="M369" s="151">
        <f>M370</f>
        <v>359.09999999999991</v>
      </c>
    </row>
    <row r="370" spans="1:13" s="153" customFormat="1" ht="56.25" hidden="1">
      <c r="A370" s="140"/>
      <c r="B370" s="791" t="s">
        <v>135</v>
      </c>
      <c r="C370" s="785" t="s">
        <v>372</v>
      </c>
      <c r="D370" s="786" t="s">
        <v>304</v>
      </c>
      <c r="E370" s="786" t="s">
        <v>90</v>
      </c>
      <c r="F370" s="787" t="s">
        <v>92</v>
      </c>
      <c r="G370" s="788" t="s">
        <v>98</v>
      </c>
      <c r="H370" s="788" t="s">
        <v>90</v>
      </c>
      <c r="I370" s="789" t="s">
        <v>618</v>
      </c>
      <c r="J370" s="786" t="s">
        <v>136</v>
      </c>
      <c r="K370" s="706">
        <f>7.6+5.1+35.9+28.9+51.2+71.4+23.2+27.2+27.9+27.5+17.1+15.2-8-8-22+219.1+13.6+45+95+278.9</f>
        <v>951.8</v>
      </c>
      <c r="L370" s="706">
        <f>M370-K370</f>
        <v>-592.70000000000005</v>
      </c>
      <c r="M370" s="706">
        <f>7.6+5.1+35.9+28.9+51.2+71.4+23.2+27.2+27.9+27.5+17.1+15.2-8-8-22+219.1+13.6+45+95+278.9-7.6-5.1-35.9-28.9-29.2-350.3-23.2-27.2-19.9-19.5-17.1-15.2-13.6</f>
        <v>359.09999999999991</v>
      </c>
    </row>
    <row r="371" spans="1:13" s="153" customFormat="1" ht="56.25" hidden="1">
      <c r="A371" s="140"/>
      <c r="B371" s="149" t="s">
        <v>286</v>
      </c>
      <c r="C371" s="150" t="s">
        <v>372</v>
      </c>
      <c r="D371" s="139" t="s">
        <v>304</v>
      </c>
      <c r="E371" s="139" t="s">
        <v>90</v>
      </c>
      <c r="F371" s="778" t="s">
        <v>92</v>
      </c>
      <c r="G371" s="779" t="s">
        <v>98</v>
      </c>
      <c r="H371" s="779" t="s">
        <v>90</v>
      </c>
      <c r="I371" s="780" t="s">
        <v>379</v>
      </c>
      <c r="J371" s="139"/>
      <c r="K371" s="151">
        <f>K372</f>
        <v>5881.4000000000005</v>
      </c>
      <c r="L371" s="151">
        <f>L372</f>
        <v>1137.1759999999995</v>
      </c>
      <c r="M371" s="151">
        <f>M372</f>
        <v>7018.576</v>
      </c>
    </row>
    <row r="372" spans="1:13" s="153" customFormat="1" ht="55.15" hidden="1" customHeight="1">
      <c r="A372" s="140"/>
      <c r="B372" s="791" t="s">
        <v>135</v>
      </c>
      <c r="C372" s="785" t="s">
        <v>372</v>
      </c>
      <c r="D372" s="786" t="s">
        <v>304</v>
      </c>
      <c r="E372" s="786" t="s">
        <v>90</v>
      </c>
      <c r="F372" s="787" t="s">
        <v>92</v>
      </c>
      <c r="G372" s="788" t="s">
        <v>98</v>
      </c>
      <c r="H372" s="788" t="s">
        <v>90</v>
      </c>
      <c r="I372" s="789" t="s">
        <v>379</v>
      </c>
      <c r="J372" s="786" t="s">
        <v>136</v>
      </c>
      <c r="K372" s="706">
        <f>5734.8+146.6</f>
        <v>5881.4000000000005</v>
      </c>
      <c r="L372" s="706">
        <f>M372-K372</f>
        <v>1137.1759999999995</v>
      </c>
      <c r="M372" s="706">
        <f>5734.8+146.6+1033.1+104.076</f>
        <v>7018.576</v>
      </c>
    </row>
    <row r="373" spans="1:13" s="153" customFormat="1" ht="75" hidden="1">
      <c r="A373" s="140"/>
      <c r="B373" s="149" t="s">
        <v>288</v>
      </c>
      <c r="C373" s="150" t="s">
        <v>372</v>
      </c>
      <c r="D373" s="139" t="s">
        <v>304</v>
      </c>
      <c r="E373" s="139" t="s">
        <v>90</v>
      </c>
      <c r="F373" s="778" t="s">
        <v>92</v>
      </c>
      <c r="G373" s="779" t="s">
        <v>98</v>
      </c>
      <c r="H373" s="779" t="s">
        <v>90</v>
      </c>
      <c r="I373" s="780" t="s">
        <v>381</v>
      </c>
      <c r="J373" s="139"/>
      <c r="K373" s="151">
        <f t="shared" ref="K373:M373" si="102">K374</f>
        <v>7.5</v>
      </c>
      <c r="L373" s="151">
        <f t="shared" si="102"/>
        <v>0</v>
      </c>
      <c r="M373" s="151">
        <f t="shared" si="102"/>
        <v>7.5</v>
      </c>
    </row>
    <row r="374" spans="1:13" s="153" customFormat="1" ht="56.25" hidden="1">
      <c r="A374" s="140"/>
      <c r="B374" s="149" t="s">
        <v>135</v>
      </c>
      <c r="C374" s="150" t="s">
        <v>372</v>
      </c>
      <c r="D374" s="139" t="s">
        <v>304</v>
      </c>
      <c r="E374" s="139" t="s">
        <v>90</v>
      </c>
      <c r="F374" s="778" t="s">
        <v>92</v>
      </c>
      <c r="G374" s="779" t="s">
        <v>98</v>
      </c>
      <c r="H374" s="779" t="s">
        <v>90</v>
      </c>
      <c r="I374" s="780" t="s">
        <v>381</v>
      </c>
      <c r="J374" s="139" t="s">
        <v>136</v>
      </c>
      <c r="K374" s="151">
        <v>7.5</v>
      </c>
      <c r="L374" s="151">
        <f>M374-K374</f>
        <v>0</v>
      </c>
      <c r="M374" s="151">
        <v>7.5</v>
      </c>
    </row>
    <row r="375" spans="1:13" s="148" customFormat="1" ht="18.75" hidden="1">
      <c r="A375" s="140"/>
      <c r="B375" s="149" t="s">
        <v>374</v>
      </c>
      <c r="C375" s="150" t="s">
        <v>372</v>
      </c>
      <c r="D375" s="139" t="s">
        <v>304</v>
      </c>
      <c r="E375" s="139" t="s">
        <v>90</v>
      </c>
      <c r="F375" s="778" t="s">
        <v>92</v>
      </c>
      <c r="G375" s="779" t="s">
        <v>98</v>
      </c>
      <c r="H375" s="779" t="s">
        <v>90</v>
      </c>
      <c r="I375" s="780" t="s">
        <v>375</v>
      </c>
      <c r="J375" s="139"/>
      <c r="K375" s="151">
        <f>K376</f>
        <v>509.50000000000006</v>
      </c>
      <c r="L375" s="151">
        <f>L376</f>
        <v>0</v>
      </c>
      <c r="M375" s="151">
        <f>M376</f>
        <v>509.50000000000006</v>
      </c>
    </row>
    <row r="376" spans="1:13" s="148" customFormat="1" ht="56.25" hidden="1">
      <c r="A376" s="140"/>
      <c r="B376" s="149" t="s">
        <v>135</v>
      </c>
      <c r="C376" s="150" t="s">
        <v>372</v>
      </c>
      <c r="D376" s="139" t="s">
        <v>304</v>
      </c>
      <c r="E376" s="139" t="s">
        <v>90</v>
      </c>
      <c r="F376" s="778" t="s">
        <v>92</v>
      </c>
      <c r="G376" s="779" t="s">
        <v>98</v>
      </c>
      <c r="H376" s="779" t="s">
        <v>90</v>
      </c>
      <c r="I376" s="780" t="s">
        <v>375</v>
      </c>
      <c r="J376" s="139" t="s">
        <v>136</v>
      </c>
      <c r="K376" s="151">
        <f>557.7-48.2</f>
        <v>509.50000000000006</v>
      </c>
      <c r="L376" s="151">
        <f>M376-K376</f>
        <v>0</v>
      </c>
      <c r="M376" s="151">
        <f>557.7-48.2</f>
        <v>509.50000000000006</v>
      </c>
    </row>
    <row r="377" spans="1:13" s="148" customFormat="1" ht="131.25" hidden="1">
      <c r="A377" s="140"/>
      <c r="B377" s="149" t="s">
        <v>503</v>
      </c>
      <c r="C377" s="150" t="s">
        <v>372</v>
      </c>
      <c r="D377" s="139" t="s">
        <v>304</v>
      </c>
      <c r="E377" s="139" t="s">
        <v>90</v>
      </c>
      <c r="F377" s="778" t="s">
        <v>92</v>
      </c>
      <c r="G377" s="779" t="s">
        <v>98</v>
      </c>
      <c r="H377" s="779" t="s">
        <v>90</v>
      </c>
      <c r="I377" s="780" t="s">
        <v>376</v>
      </c>
      <c r="J377" s="139"/>
      <c r="K377" s="151">
        <f>K378</f>
        <v>206621.6</v>
      </c>
      <c r="L377" s="151">
        <f>L378</f>
        <v>0</v>
      </c>
      <c r="M377" s="151">
        <f>M378</f>
        <v>206621.6</v>
      </c>
    </row>
    <row r="378" spans="1:13" s="148" customFormat="1" ht="56.25" hidden="1">
      <c r="A378" s="140"/>
      <c r="B378" s="149" t="s">
        <v>135</v>
      </c>
      <c r="C378" s="150" t="s">
        <v>372</v>
      </c>
      <c r="D378" s="139" t="s">
        <v>304</v>
      </c>
      <c r="E378" s="139" t="s">
        <v>90</v>
      </c>
      <c r="F378" s="778" t="s">
        <v>92</v>
      </c>
      <c r="G378" s="779" t="s">
        <v>98</v>
      </c>
      <c r="H378" s="779" t="s">
        <v>90</v>
      </c>
      <c r="I378" s="780" t="s">
        <v>376</v>
      </c>
      <c r="J378" s="139" t="s">
        <v>136</v>
      </c>
      <c r="K378" s="151">
        <f>201087.9+5533.7</f>
        <v>206621.6</v>
      </c>
      <c r="L378" s="151">
        <f>M378-K378</f>
        <v>0</v>
      </c>
      <c r="M378" s="151">
        <f>201087.9+5533.7</f>
        <v>206621.6</v>
      </c>
    </row>
    <row r="379" spans="1:13" s="148" customFormat="1" ht="37.5" hidden="1">
      <c r="A379" s="140"/>
      <c r="B379" s="791" t="s">
        <v>897</v>
      </c>
      <c r="C379" s="785" t="s">
        <v>372</v>
      </c>
      <c r="D379" s="786" t="s">
        <v>304</v>
      </c>
      <c r="E379" s="786" t="s">
        <v>90</v>
      </c>
      <c r="F379" s="787" t="s">
        <v>92</v>
      </c>
      <c r="G379" s="788" t="s">
        <v>98</v>
      </c>
      <c r="H379" s="788" t="s">
        <v>90</v>
      </c>
      <c r="I379" s="789" t="s">
        <v>896</v>
      </c>
      <c r="J379" s="786"/>
      <c r="K379" s="706">
        <f>K380</f>
        <v>0</v>
      </c>
      <c r="L379" s="706">
        <f>L380</f>
        <v>3</v>
      </c>
      <c r="M379" s="706">
        <f>M380</f>
        <v>3</v>
      </c>
    </row>
    <row r="380" spans="1:13" s="148" customFormat="1" ht="56.25" hidden="1">
      <c r="A380" s="140"/>
      <c r="B380" s="791" t="s">
        <v>135</v>
      </c>
      <c r="C380" s="785" t="s">
        <v>372</v>
      </c>
      <c r="D380" s="786" t="s">
        <v>304</v>
      </c>
      <c r="E380" s="786" t="s">
        <v>90</v>
      </c>
      <c r="F380" s="787" t="s">
        <v>92</v>
      </c>
      <c r="G380" s="788" t="s">
        <v>98</v>
      </c>
      <c r="H380" s="788" t="s">
        <v>90</v>
      </c>
      <c r="I380" s="789" t="s">
        <v>896</v>
      </c>
      <c r="J380" s="786" t="s">
        <v>136</v>
      </c>
      <c r="K380" s="706">
        <v>0</v>
      </c>
      <c r="L380" s="706">
        <f>M380-K380</f>
        <v>3</v>
      </c>
      <c r="M380" s="706">
        <v>3</v>
      </c>
    </row>
    <row r="381" spans="1:13" s="148" customFormat="1" ht="56.25" hidden="1">
      <c r="A381" s="140"/>
      <c r="B381" s="149" t="s">
        <v>899</v>
      </c>
      <c r="C381" s="150" t="s">
        <v>372</v>
      </c>
      <c r="D381" s="139" t="s">
        <v>304</v>
      </c>
      <c r="E381" s="139" t="s">
        <v>90</v>
      </c>
      <c r="F381" s="778" t="s">
        <v>92</v>
      </c>
      <c r="G381" s="779" t="s">
        <v>98</v>
      </c>
      <c r="H381" s="779" t="s">
        <v>90</v>
      </c>
      <c r="I381" s="780" t="s">
        <v>890</v>
      </c>
      <c r="J381" s="139"/>
      <c r="K381" s="151">
        <f>K382</f>
        <v>1100</v>
      </c>
      <c r="L381" s="151">
        <f>L382</f>
        <v>0</v>
      </c>
      <c r="M381" s="151">
        <f>M382</f>
        <v>1100</v>
      </c>
    </row>
    <row r="382" spans="1:13" s="148" customFormat="1" ht="56.25" hidden="1">
      <c r="A382" s="140"/>
      <c r="B382" s="149" t="s">
        <v>135</v>
      </c>
      <c r="C382" s="150" t="s">
        <v>372</v>
      </c>
      <c r="D382" s="139" t="s">
        <v>304</v>
      </c>
      <c r="E382" s="139" t="s">
        <v>90</v>
      </c>
      <c r="F382" s="778" t="s">
        <v>92</v>
      </c>
      <c r="G382" s="779" t="s">
        <v>98</v>
      </c>
      <c r="H382" s="779" t="s">
        <v>90</v>
      </c>
      <c r="I382" s="780" t="s">
        <v>890</v>
      </c>
      <c r="J382" s="139" t="s">
        <v>136</v>
      </c>
      <c r="K382" s="151">
        <f>1100</f>
        <v>1100</v>
      </c>
      <c r="L382" s="151">
        <f>M382-K382</f>
        <v>0</v>
      </c>
      <c r="M382" s="151">
        <f>1100</f>
        <v>1100</v>
      </c>
    </row>
    <row r="383" spans="1:13" s="148" customFormat="1" ht="56.25" hidden="1">
      <c r="A383" s="140"/>
      <c r="B383" s="149" t="s">
        <v>313</v>
      </c>
      <c r="C383" s="150" t="s">
        <v>372</v>
      </c>
      <c r="D383" s="139" t="s">
        <v>304</v>
      </c>
      <c r="E383" s="139" t="s">
        <v>90</v>
      </c>
      <c r="F383" s="778" t="s">
        <v>314</v>
      </c>
      <c r="G383" s="779" t="s">
        <v>95</v>
      </c>
      <c r="H383" s="779" t="s">
        <v>96</v>
      </c>
      <c r="I383" s="780" t="s">
        <v>97</v>
      </c>
      <c r="J383" s="139"/>
      <c r="K383" s="151">
        <f t="shared" ref="K383:M386" si="103">K384</f>
        <v>90.6</v>
      </c>
      <c r="L383" s="151">
        <f t="shared" si="103"/>
        <v>0</v>
      </c>
      <c r="M383" s="151">
        <f t="shared" si="103"/>
        <v>90.6</v>
      </c>
    </row>
    <row r="384" spans="1:13" s="148" customFormat="1" ht="37.5" hidden="1">
      <c r="A384" s="140"/>
      <c r="B384" s="149" t="s">
        <v>491</v>
      </c>
      <c r="C384" s="150" t="s">
        <v>372</v>
      </c>
      <c r="D384" s="139" t="s">
        <v>304</v>
      </c>
      <c r="E384" s="139" t="s">
        <v>90</v>
      </c>
      <c r="F384" s="778" t="s">
        <v>314</v>
      </c>
      <c r="G384" s="779" t="s">
        <v>98</v>
      </c>
      <c r="H384" s="779" t="s">
        <v>96</v>
      </c>
      <c r="I384" s="780" t="s">
        <v>97</v>
      </c>
      <c r="J384" s="139"/>
      <c r="K384" s="151">
        <f t="shared" si="103"/>
        <v>90.6</v>
      </c>
      <c r="L384" s="151">
        <f t="shared" si="103"/>
        <v>0</v>
      </c>
      <c r="M384" s="151">
        <f t="shared" si="103"/>
        <v>90.6</v>
      </c>
    </row>
    <row r="385" spans="1:13" s="148" customFormat="1" ht="54.6" hidden="1" customHeight="1">
      <c r="A385" s="140"/>
      <c r="B385" s="149" t="s">
        <v>393</v>
      </c>
      <c r="C385" s="150" t="s">
        <v>372</v>
      </c>
      <c r="D385" s="139" t="s">
        <v>304</v>
      </c>
      <c r="E385" s="139" t="s">
        <v>90</v>
      </c>
      <c r="F385" s="778" t="s">
        <v>314</v>
      </c>
      <c r="G385" s="779" t="s">
        <v>98</v>
      </c>
      <c r="H385" s="779" t="s">
        <v>90</v>
      </c>
      <c r="I385" s="780" t="s">
        <v>97</v>
      </c>
      <c r="J385" s="139"/>
      <c r="K385" s="151">
        <f t="shared" si="103"/>
        <v>90.6</v>
      </c>
      <c r="L385" s="151">
        <f t="shared" si="103"/>
        <v>0</v>
      </c>
      <c r="M385" s="151">
        <f t="shared" si="103"/>
        <v>90.6</v>
      </c>
    </row>
    <row r="386" spans="1:13" s="148" customFormat="1" ht="37.5" hidden="1">
      <c r="A386" s="140"/>
      <c r="B386" s="149" t="s">
        <v>315</v>
      </c>
      <c r="C386" s="150" t="s">
        <v>372</v>
      </c>
      <c r="D386" s="139" t="s">
        <v>304</v>
      </c>
      <c r="E386" s="139" t="s">
        <v>90</v>
      </c>
      <c r="F386" s="778" t="s">
        <v>314</v>
      </c>
      <c r="G386" s="779" t="s">
        <v>98</v>
      </c>
      <c r="H386" s="779" t="s">
        <v>90</v>
      </c>
      <c r="I386" s="780" t="s">
        <v>387</v>
      </c>
      <c r="J386" s="139"/>
      <c r="K386" s="151">
        <f t="shared" si="103"/>
        <v>90.6</v>
      </c>
      <c r="L386" s="151">
        <f t="shared" si="103"/>
        <v>0</v>
      </c>
      <c r="M386" s="151">
        <f t="shared" si="103"/>
        <v>90.6</v>
      </c>
    </row>
    <row r="387" spans="1:13" s="148" customFormat="1" ht="56.25" hidden="1">
      <c r="A387" s="140"/>
      <c r="B387" s="149" t="s">
        <v>135</v>
      </c>
      <c r="C387" s="150" t="s">
        <v>372</v>
      </c>
      <c r="D387" s="139" t="s">
        <v>304</v>
      </c>
      <c r="E387" s="139" t="s">
        <v>90</v>
      </c>
      <c r="F387" s="778" t="s">
        <v>314</v>
      </c>
      <c r="G387" s="779" t="s">
        <v>98</v>
      </c>
      <c r="H387" s="779" t="s">
        <v>90</v>
      </c>
      <c r="I387" s="780" t="s">
        <v>387</v>
      </c>
      <c r="J387" s="139" t="s">
        <v>136</v>
      </c>
      <c r="K387" s="151">
        <f>52.6+38</f>
        <v>90.6</v>
      </c>
      <c r="L387" s="151">
        <f>M387-K387</f>
        <v>0</v>
      </c>
      <c r="M387" s="151">
        <f>52.6+38</f>
        <v>90.6</v>
      </c>
    </row>
    <row r="388" spans="1:13" s="148" customFormat="1" ht="18.75" hidden="1">
      <c r="A388" s="140"/>
      <c r="B388" s="149" t="s">
        <v>258</v>
      </c>
      <c r="C388" s="150" t="s">
        <v>372</v>
      </c>
      <c r="D388" s="139" t="s">
        <v>304</v>
      </c>
      <c r="E388" s="139" t="s">
        <v>92</v>
      </c>
      <c r="F388" s="778"/>
      <c r="G388" s="779"/>
      <c r="H388" s="779"/>
      <c r="I388" s="780"/>
      <c r="J388" s="139"/>
      <c r="K388" s="151">
        <f>K389</f>
        <v>508178.8</v>
      </c>
      <c r="L388" s="151">
        <f>L389</f>
        <v>8431.5390000000043</v>
      </c>
      <c r="M388" s="151">
        <f>M389</f>
        <v>516610.33899999998</v>
      </c>
    </row>
    <row r="389" spans="1:13" s="148" customFormat="1" ht="56.25" hidden="1">
      <c r="A389" s="140"/>
      <c r="B389" s="149" t="s">
        <v>284</v>
      </c>
      <c r="C389" s="150" t="s">
        <v>372</v>
      </c>
      <c r="D389" s="139" t="s">
        <v>304</v>
      </c>
      <c r="E389" s="139" t="s">
        <v>92</v>
      </c>
      <c r="F389" s="778" t="s">
        <v>92</v>
      </c>
      <c r="G389" s="779" t="s">
        <v>95</v>
      </c>
      <c r="H389" s="779" t="s">
        <v>96</v>
      </c>
      <c r="I389" s="780" t="s">
        <v>97</v>
      </c>
      <c r="J389" s="139"/>
      <c r="K389" s="151">
        <f>K390+K433</f>
        <v>508178.8</v>
      </c>
      <c r="L389" s="151">
        <f>L390+L433</f>
        <v>8431.5390000000043</v>
      </c>
      <c r="M389" s="151">
        <f>M390+M433</f>
        <v>516610.33899999998</v>
      </c>
    </row>
    <row r="390" spans="1:13" s="148" customFormat="1" ht="37.5" hidden="1">
      <c r="A390" s="140"/>
      <c r="B390" s="149" t="s">
        <v>285</v>
      </c>
      <c r="C390" s="150" t="s">
        <v>372</v>
      </c>
      <c r="D390" s="139" t="s">
        <v>304</v>
      </c>
      <c r="E390" s="139" t="s">
        <v>92</v>
      </c>
      <c r="F390" s="778" t="s">
        <v>92</v>
      </c>
      <c r="G390" s="779" t="s">
        <v>98</v>
      </c>
      <c r="H390" s="779" t="s">
        <v>96</v>
      </c>
      <c r="I390" s="780" t="s">
        <v>97</v>
      </c>
      <c r="J390" s="139"/>
      <c r="K390" s="151">
        <f>K391+K428</f>
        <v>505808.1</v>
      </c>
      <c r="L390" s="151">
        <f>L391+L428</f>
        <v>8431.5390000000043</v>
      </c>
      <c r="M390" s="151">
        <f>M391+M428</f>
        <v>514239.63899999997</v>
      </c>
    </row>
    <row r="391" spans="1:13" s="148" customFormat="1" ht="18.75" hidden="1">
      <c r="A391" s="140"/>
      <c r="B391" s="149" t="s">
        <v>378</v>
      </c>
      <c r="C391" s="150" t="s">
        <v>372</v>
      </c>
      <c r="D391" s="139" t="s">
        <v>304</v>
      </c>
      <c r="E391" s="139" t="s">
        <v>92</v>
      </c>
      <c r="F391" s="778" t="s">
        <v>92</v>
      </c>
      <c r="G391" s="779" t="s">
        <v>98</v>
      </c>
      <c r="H391" s="779" t="s">
        <v>92</v>
      </c>
      <c r="I391" s="780" t="s">
        <v>97</v>
      </c>
      <c r="J391" s="139"/>
      <c r="K391" s="151">
        <f>K400+K403+K408+K410+K414+K418+K392+K397+K425+K423+K421</f>
        <v>499204.89999999997</v>
      </c>
      <c r="L391" s="151">
        <f>L400+L403+L408+L410+L414+L418+L392+L397+L425+L423+L421</f>
        <v>-1352.8609999999971</v>
      </c>
      <c r="M391" s="151">
        <f>M400+M403+M408+M410+M414+M418+M392+M397+M425+M423+M421</f>
        <v>497852.03899999999</v>
      </c>
    </row>
    <row r="392" spans="1:13" s="153" customFormat="1" ht="73.900000000000006" hidden="1" customHeight="1">
      <c r="A392" s="140"/>
      <c r="B392" s="149" t="s">
        <v>151</v>
      </c>
      <c r="C392" s="150" t="s">
        <v>372</v>
      </c>
      <c r="D392" s="139" t="s">
        <v>304</v>
      </c>
      <c r="E392" s="139" t="s">
        <v>92</v>
      </c>
      <c r="F392" s="778" t="s">
        <v>92</v>
      </c>
      <c r="G392" s="779" t="s">
        <v>98</v>
      </c>
      <c r="H392" s="779" t="s">
        <v>92</v>
      </c>
      <c r="I392" s="780" t="s">
        <v>153</v>
      </c>
      <c r="J392" s="139"/>
      <c r="K392" s="151">
        <f t="shared" ref="K392" si="104">SUM(K393:K396)</f>
        <v>75652.801560000007</v>
      </c>
      <c r="L392" s="151">
        <f t="shared" ref="L392:M392" si="105">SUM(L393:L396)</f>
        <v>-2549.3999999999969</v>
      </c>
      <c r="M392" s="151">
        <f t="shared" si="105"/>
        <v>73103.401560000028</v>
      </c>
    </row>
    <row r="393" spans="1:13" s="153" customFormat="1" ht="90" hidden="1" customHeight="1">
      <c r="A393" s="140"/>
      <c r="B393" s="791" t="s">
        <v>102</v>
      </c>
      <c r="C393" s="785" t="s">
        <v>372</v>
      </c>
      <c r="D393" s="786" t="s">
        <v>304</v>
      </c>
      <c r="E393" s="786" t="s">
        <v>92</v>
      </c>
      <c r="F393" s="787" t="s">
        <v>92</v>
      </c>
      <c r="G393" s="788" t="s">
        <v>98</v>
      </c>
      <c r="H393" s="788" t="s">
        <v>92</v>
      </c>
      <c r="I393" s="789" t="s">
        <v>153</v>
      </c>
      <c r="J393" s="786" t="s">
        <v>103</v>
      </c>
      <c r="K393" s="706">
        <v>3791.6</v>
      </c>
      <c r="L393" s="706">
        <f t="shared" ref="L393:L396" si="106">M393-K393</f>
        <v>-190</v>
      </c>
      <c r="M393" s="706">
        <f>3791.6-190</f>
        <v>3601.6</v>
      </c>
    </row>
    <row r="394" spans="1:13" s="153" customFormat="1" ht="49.9" hidden="1" customHeight="1">
      <c r="A394" s="140"/>
      <c r="B394" s="791" t="s">
        <v>108</v>
      </c>
      <c r="C394" s="785" t="s">
        <v>372</v>
      </c>
      <c r="D394" s="786" t="s">
        <v>304</v>
      </c>
      <c r="E394" s="786" t="s">
        <v>92</v>
      </c>
      <c r="F394" s="787" t="s">
        <v>92</v>
      </c>
      <c r="G394" s="788" t="s">
        <v>98</v>
      </c>
      <c r="H394" s="788" t="s">
        <v>92</v>
      </c>
      <c r="I394" s="789" t="s">
        <v>153</v>
      </c>
      <c r="J394" s="786" t="s">
        <v>109</v>
      </c>
      <c r="K394" s="706">
        <f>3085.9+1266.1-116.49844-2-10</f>
        <v>4223.5015599999997</v>
      </c>
      <c r="L394" s="706">
        <f t="shared" si="106"/>
        <v>-409.29999999999973</v>
      </c>
      <c r="M394" s="706">
        <f>3085.9+1266.1-116.49844-2-10-407.7-1.6</f>
        <v>3814.20156</v>
      </c>
    </row>
    <row r="395" spans="1:13" s="153" customFormat="1" ht="56.25" hidden="1">
      <c r="A395" s="140"/>
      <c r="B395" s="791" t="s">
        <v>135</v>
      </c>
      <c r="C395" s="785" t="s">
        <v>372</v>
      </c>
      <c r="D395" s="786" t="s">
        <v>304</v>
      </c>
      <c r="E395" s="786" t="s">
        <v>92</v>
      </c>
      <c r="F395" s="787" t="s">
        <v>92</v>
      </c>
      <c r="G395" s="788" t="s">
        <v>98</v>
      </c>
      <c r="H395" s="788" t="s">
        <v>92</v>
      </c>
      <c r="I395" s="789" t="s">
        <v>153</v>
      </c>
      <c r="J395" s="786" t="s">
        <v>136</v>
      </c>
      <c r="K395" s="706">
        <f>69501.5+450.3+300-1495.9-1852.2</f>
        <v>66903.700000000012</v>
      </c>
      <c r="L395" s="706">
        <f t="shared" si="106"/>
        <v>-1951.6999999999971</v>
      </c>
      <c r="M395" s="706">
        <f>69501.5+450.3+300-1495.9-1852.2-770-1181.7</f>
        <v>64952.000000000015</v>
      </c>
    </row>
    <row r="396" spans="1:13" s="153" customFormat="1" ht="18.75" hidden="1">
      <c r="A396" s="140"/>
      <c r="B396" s="791" t="s">
        <v>110</v>
      </c>
      <c r="C396" s="785" t="s">
        <v>372</v>
      </c>
      <c r="D396" s="786" t="s">
        <v>304</v>
      </c>
      <c r="E396" s="786" t="s">
        <v>92</v>
      </c>
      <c r="F396" s="787" t="s">
        <v>92</v>
      </c>
      <c r="G396" s="788" t="s">
        <v>98</v>
      </c>
      <c r="H396" s="788" t="s">
        <v>92</v>
      </c>
      <c r="I396" s="789" t="s">
        <v>153</v>
      </c>
      <c r="J396" s="786" t="s">
        <v>111</v>
      </c>
      <c r="K396" s="706">
        <f>722+2+10</f>
        <v>734</v>
      </c>
      <c r="L396" s="706">
        <f t="shared" si="106"/>
        <v>1.6000000000000227</v>
      </c>
      <c r="M396" s="706">
        <f>722+2+10+1.6</f>
        <v>735.6</v>
      </c>
    </row>
    <row r="397" spans="1:13" s="153" customFormat="1" ht="37.5" hidden="1">
      <c r="A397" s="140"/>
      <c r="B397" s="149" t="s">
        <v>619</v>
      </c>
      <c r="C397" s="150" t="s">
        <v>372</v>
      </c>
      <c r="D397" s="139" t="s">
        <v>304</v>
      </c>
      <c r="E397" s="139" t="s">
        <v>92</v>
      </c>
      <c r="F397" s="778" t="s">
        <v>92</v>
      </c>
      <c r="G397" s="779" t="s">
        <v>98</v>
      </c>
      <c r="H397" s="779" t="s">
        <v>92</v>
      </c>
      <c r="I397" s="780" t="s">
        <v>618</v>
      </c>
      <c r="J397" s="139"/>
      <c r="K397" s="151">
        <f>K399+K398</f>
        <v>725.6</v>
      </c>
      <c r="L397" s="151">
        <f>L399+L398</f>
        <v>-431.09999999999997</v>
      </c>
      <c r="M397" s="151">
        <f>M399+M398</f>
        <v>294.50000000000006</v>
      </c>
    </row>
    <row r="398" spans="1:13" s="153" customFormat="1" ht="50.45" hidden="1" customHeight="1">
      <c r="A398" s="140"/>
      <c r="B398" s="149" t="s">
        <v>108</v>
      </c>
      <c r="C398" s="150" t="s">
        <v>372</v>
      </c>
      <c r="D398" s="139" t="s">
        <v>304</v>
      </c>
      <c r="E398" s="139" t="s">
        <v>92</v>
      </c>
      <c r="F398" s="778" t="s">
        <v>92</v>
      </c>
      <c r="G398" s="779" t="s">
        <v>98</v>
      </c>
      <c r="H398" s="779" t="s">
        <v>92</v>
      </c>
      <c r="I398" s="780" t="s">
        <v>618</v>
      </c>
      <c r="J398" s="139" t="s">
        <v>109</v>
      </c>
      <c r="K398" s="151">
        <v>34.9</v>
      </c>
      <c r="L398" s="151">
        <f>M398-K398</f>
        <v>0</v>
      </c>
      <c r="M398" s="151">
        <v>34.9</v>
      </c>
    </row>
    <row r="399" spans="1:13" s="153" customFormat="1" ht="56.25" hidden="1">
      <c r="A399" s="140"/>
      <c r="B399" s="791" t="s">
        <v>135</v>
      </c>
      <c r="C399" s="785" t="s">
        <v>372</v>
      </c>
      <c r="D399" s="786" t="s">
        <v>304</v>
      </c>
      <c r="E399" s="786" t="s">
        <v>92</v>
      </c>
      <c r="F399" s="787" t="s">
        <v>92</v>
      </c>
      <c r="G399" s="788" t="s">
        <v>98</v>
      </c>
      <c r="H399" s="788" t="s">
        <v>92</v>
      </c>
      <c r="I399" s="789" t="s">
        <v>618</v>
      </c>
      <c r="J399" s="786" t="s">
        <v>136</v>
      </c>
      <c r="K399" s="706">
        <f>68.5+135.6+146.6+87.4+42.4+11.2+199</f>
        <v>690.7</v>
      </c>
      <c r="L399" s="706">
        <f>M399-K399</f>
        <v>-431.09999999999997</v>
      </c>
      <c r="M399" s="792">
        <f>68.5+135.6+146.6+87.4+42.4+11.2+199-68.5-135.6-157.8-0.2-42.4+60.6-87.2</f>
        <v>259.60000000000008</v>
      </c>
    </row>
    <row r="400" spans="1:13" s="148" customFormat="1" ht="56.25" hidden="1">
      <c r="A400" s="140"/>
      <c r="B400" s="149" t="s">
        <v>286</v>
      </c>
      <c r="C400" s="150" t="s">
        <v>372</v>
      </c>
      <c r="D400" s="139" t="s">
        <v>304</v>
      </c>
      <c r="E400" s="139" t="s">
        <v>92</v>
      </c>
      <c r="F400" s="778" t="s">
        <v>92</v>
      </c>
      <c r="G400" s="779" t="s">
        <v>98</v>
      </c>
      <c r="H400" s="779" t="s">
        <v>92</v>
      </c>
      <c r="I400" s="780" t="s">
        <v>379</v>
      </c>
      <c r="J400" s="139"/>
      <c r="K400" s="151">
        <f>SUM(K401:K402)</f>
        <v>7653.1</v>
      </c>
      <c r="L400" s="151">
        <f>SUM(L401:L402)</f>
        <v>1434.6389999999997</v>
      </c>
      <c r="M400" s="151">
        <f>SUM(M401:M402)</f>
        <v>9087.7389999999996</v>
      </c>
    </row>
    <row r="401" spans="1:13" s="148" customFormat="1" ht="50.45" hidden="1" customHeight="1">
      <c r="A401" s="140"/>
      <c r="B401" s="791" t="s">
        <v>108</v>
      </c>
      <c r="C401" s="785" t="s">
        <v>372</v>
      </c>
      <c r="D401" s="786" t="s">
        <v>304</v>
      </c>
      <c r="E401" s="786" t="s">
        <v>92</v>
      </c>
      <c r="F401" s="787" t="s">
        <v>92</v>
      </c>
      <c r="G401" s="788" t="s">
        <v>98</v>
      </c>
      <c r="H401" s="788" t="s">
        <v>92</v>
      </c>
      <c r="I401" s="789" t="s">
        <v>379</v>
      </c>
      <c r="J401" s="786" t="s">
        <v>109</v>
      </c>
      <c r="K401" s="706">
        <f>667.3+163.5</f>
        <v>830.8</v>
      </c>
      <c r="L401" s="706">
        <f t="shared" ref="L401:L402" si="107">M401-K401</f>
        <v>96.899999999999977</v>
      </c>
      <c r="M401" s="792">
        <f>667.3+163.5+96.9</f>
        <v>927.69999999999993</v>
      </c>
    </row>
    <row r="402" spans="1:13" s="148" customFormat="1" ht="56.25" hidden="1">
      <c r="A402" s="140"/>
      <c r="B402" s="791" t="s">
        <v>135</v>
      </c>
      <c r="C402" s="785" t="s">
        <v>372</v>
      </c>
      <c r="D402" s="786" t="s">
        <v>304</v>
      </c>
      <c r="E402" s="786" t="s">
        <v>92</v>
      </c>
      <c r="F402" s="787" t="s">
        <v>92</v>
      </c>
      <c r="G402" s="788" t="s">
        <v>98</v>
      </c>
      <c r="H402" s="788" t="s">
        <v>92</v>
      </c>
      <c r="I402" s="789" t="s">
        <v>379</v>
      </c>
      <c r="J402" s="786" t="s">
        <v>136</v>
      </c>
      <c r="K402" s="706">
        <f>3580+1390.1+1852.2</f>
        <v>6822.3</v>
      </c>
      <c r="L402" s="706">
        <f t="shared" si="107"/>
        <v>1337.7389999999996</v>
      </c>
      <c r="M402" s="706">
        <f>3580+1390.1+1852.2+1397.1-59.361</f>
        <v>8160.0389999999998</v>
      </c>
    </row>
    <row r="403" spans="1:13" s="148" customFormat="1" ht="37.5" hidden="1">
      <c r="A403" s="140"/>
      <c r="B403" s="149" t="s">
        <v>287</v>
      </c>
      <c r="C403" s="150" t="s">
        <v>372</v>
      </c>
      <c r="D403" s="139" t="s">
        <v>304</v>
      </c>
      <c r="E403" s="139" t="s">
        <v>92</v>
      </c>
      <c r="F403" s="778" t="s">
        <v>92</v>
      </c>
      <c r="G403" s="779" t="s">
        <v>98</v>
      </c>
      <c r="H403" s="779" t="s">
        <v>92</v>
      </c>
      <c r="I403" s="780" t="s">
        <v>380</v>
      </c>
      <c r="J403" s="139"/>
      <c r="K403" s="151">
        <f>SUM(K404:K407)</f>
        <v>20122.098440000002</v>
      </c>
      <c r="L403" s="151">
        <f>SUM(L404:L407)</f>
        <v>-2903.6000000000004</v>
      </c>
      <c r="M403" s="151">
        <f>SUM(M404:M407)</f>
        <v>17218.498439999999</v>
      </c>
    </row>
    <row r="404" spans="1:13" s="148" customFormat="1" ht="49.9" hidden="1" customHeight="1">
      <c r="A404" s="140"/>
      <c r="B404" s="149" t="s">
        <v>108</v>
      </c>
      <c r="C404" s="150" t="s">
        <v>372</v>
      </c>
      <c r="D404" s="139" t="s">
        <v>304</v>
      </c>
      <c r="E404" s="139" t="s">
        <v>92</v>
      </c>
      <c r="F404" s="778" t="s">
        <v>92</v>
      </c>
      <c r="G404" s="779" t="s">
        <v>98</v>
      </c>
      <c r="H404" s="779" t="s">
        <v>92</v>
      </c>
      <c r="I404" s="780" t="s">
        <v>380</v>
      </c>
      <c r="J404" s="139" t="s">
        <v>109</v>
      </c>
      <c r="K404" s="151">
        <f>216.2+77.7+895.5-15.4-895.5</f>
        <v>278.5</v>
      </c>
      <c r="L404" s="151">
        <f t="shared" ref="L404" si="108">M404-K404</f>
        <v>0</v>
      </c>
      <c r="M404" s="151">
        <f>216.2+77.7+895.5-15.4-895.5</f>
        <v>278.5</v>
      </c>
    </row>
    <row r="405" spans="1:13" s="148" customFormat="1" ht="37.5" hidden="1">
      <c r="A405" s="140"/>
      <c r="B405" s="397" t="s">
        <v>183</v>
      </c>
      <c r="C405" s="150" t="s">
        <v>372</v>
      </c>
      <c r="D405" s="139" t="s">
        <v>304</v>
      </c>
      <c r="E405" s="139" t="s">
        <v>92</v>
      </c>
      <c r="F405" s="778" t="s">
        <v>92</v>
      </c>
      <c r="G405" s="779" t="s">
        <v>98</v>
      </c>
      <c r="H405" s="779" t="s">
        <v>92</v>
      </c>
      <c r="I405" s="780" t="s">
        <v>380</v>
      </c>
      <c r="J405" s="139" t="s">
        <v>184</v>
      </c>
      <c r="K405" s="151">
        <f>238.5+116.49844</f>
        <v>354.99844000000002</v>
      </c>
      <c r="L405" s="151">
        <f>M405-K405</f>
        <v>0</v>
      </c>
      <c r="M405" s="151">
        <f>238.5+116.49844</f>
        <v>354.99844000000002</v>
      </c>
    </row>
    <row r="406" spans="1:13" s="148" customFormat="1" ht="56.25" hidden="1">
      <c r="A406" s="140"/>
      <c r="B406" s="149" t="s">
        <v>282</v>
      </c>
      <c r="C406" s="150" t="s">
        <v>372</v>
      </c>
      <c r="D406" s="139" t="s">
        <v>304</v>
      </c>
      <c r="E406" s="139" t="s">
        <v>92</v>
      </c>
      <c r="F406" s="778" t="s">
        <v>92</v>
      </c>
      <c r="G406" s="779" t="s">
        <v>98</v>
      </c>
      <c r="H406" s="779" t="s">
        <v>92</v>
      </c>
      <c r="I406" s="780" t="s">
        <v>380</v>
      </c>
      <c r="J406" s="139" t="s">
        <v>283</v>
      </c>
      <c r="K406" s="151">
        <f>1900+609.4+609.4+611.2+611.2+5900</f>
        <v>10241.200000000001</v>
      </c>
      <c r="L406" s="151">
        <f>M406-K406</f>
        <v>-1900</v>
      </c>
      <c r="M406" s="782">
        <f>1900+609.4+609.4+611.2+611.2+5900-1900</f>
        <v>8341.2000000000007</v>
      </c>
    </row>
    <row r="407" spans="1:13" s="148" customFormat="1" ht="56.25" hidden="1">
      <c r="A407" s="140"/>
      <c r="B407" s="791" t="s">
        <v>135</v>
      </c>
      <c r="C407" s="785" t="s">
        <v>372</v>
      </c>
      <c r="D407" s="786" t="s">
        <v>304</v>
      </c>
      <c r="E407" s="786" t="s">
        <v>92</v>
      </c>
      <c r="F407" s="787" t="s">
        <v>92</v>
      </c>
      <c r="G407" s="788" t="s">
        <v>98</v>
      </c>
      <c r="H407" s="788" t="s">
        <v>92</v>
      </c>
      <c r="I407" s="789" t="s">
        <v>380</v>
      </c>
      <c r="J407" s="786" t="s">
        <v>136</v>
      </c>
      <c r="K407" s="706">
        <f>6400.9+2369.7-1865.5+1865.5+895.5+153.5-4.4-223.1+198.4-146.3-198.4-198.4-293.7+293.7</f>
        <v>9247.4</v>
      </c>
      <c r="L407" s="706">
        <f>M407-K407</f>
        <v>-1003.6000000000004</v>
      </c>
      <c r="M407" s="706">
        <f>6400.9+2369.7-1865.5+1865.5+895.5+153.5-4.4-223.1+198.4-146.3-198.4-198.4-293.7+293.7-153.5-257.1-2.5-296.8-293.7</f>
        <v>8243.7999999999993</v>
      </c>
    </row>
    <row r="408" spans="1:13" s="148" customFormat="1" ht="75" hidden="1">
      <c r="A408" s="140"/>
      <c r="B408" s="149" t="s">
        <v>288</v>
      </c>
      <c r="C408" s="150" t="s">
        <v>372</v>
      </c>
      <c r="D408" s="139" t="s">
        <v>304</v>
      </c>
      <c r="E408" s="139" t="s">
        <v>92</v>
      </c>
      <c r="F408" s="778" t="s">
        <v>92</v>
      </c>
      <c r="G408" s="779" t="s">
        <v>98</v>
      </c>
      <c r="H408" s="779" t="s">
        <v>92</v>
      </c>
      <c r="I408" s="780" t="s">
        <v>381</v>
      </c>
      <c r="J408" s="139"/>
      <c r="K408" s="151">
        <f>SUM(K409:K409)</f>
        <v>15</v>
      </c>
      <c r="L408" s="151">
        <f>SUM(L409:L409)</f>
        <v>0</v>
      </c>
      <c r="M408" s="151">
        <f>SUM(M409:M409)</f>
        <v>15</v>
      </c>
    </row>
    <row r="409" spans="1:13" s="148" customFormat="1" ht="56.25" hidden="1">
      <c r="A409" s="140"/>
      <c r="B409" s="149" t="s">
        <v>135</v>
      </c>
      <c r="C409" s="150" t="s">
        <v>372</v>
      </c>
      <c r="D409" s="139" t="s">
        <v>304</v>
      </c>
      <c r="E409" s="139" t="s">
        <v>92</v>
      </c>
      <c r="F409" s="778" t="s">
        <v>92</v>
      </c>
      <c r="G409" s="779" t="s">
        <v>98</v>
      </c>
      <c r="H409" s="779" t="s">
        <v>92</v>
      </c>
      <c r="I409" s="780" t="s">
        <v>381</v>
      </c>
      <c r="J409" s="139" t="s">
        <v>136</v>
      </c>
      <c r="K409" s="151">
        <v>15</v>
      </c>
      <c r="L409" s="151">
        <f>M409-K409</f>
        <v>0</v>
      </c>
      <c r="M409" s="151">
        <v>15</v>
      </c>
    </row>
    <row r="410" spans="1:13" s="148" customFormat="1" ht="18.75" hidden="1">
      <c r="A410" s="140"/>
      <c r="B410" s="149" t="s">
        <v>374</v>
      </c>
      <c r="C410" s="150" t="s">
        <v>372</v>
      </c>
      <c r="D410" s="139" t="s">
        <v>304</v>
      </c>
      <c r="E410" s="139" t="s">
        <v>92</v>
      </c>
      <c r="F410" s="778" t="s">
        <v>92</v>
      </c>
      <c r="G410" s="779" t="s">
        <v>98</v>
      </c>
      <c r="H410" s="779" t="s">
        <v>92</v>
      </c>
      <c r="I410" s="780" t="s">
        <v>375</v>
      </c>
      <c r="J410" s="139"/>
      <c r="K410" s="151">
        <f>SUM(K411:K413)</f>
        <v>1759.8999999999999</v>
      </c>
      <c r="L410" s="151">
        <f>SUM(L411:L413)</f>
        <v>0</v>
      </c>
      <c r="M410" s="151">
        <f>SUM(M411:M413)</f>
        <v>1759.8999999999999</v>
      </c>
    </row>
    <row r="411" spans="1:13" s="148" customFormat="1" ht="105" hidden="1" customHeight="1">
      <c r="A411" s="140"/>
      <c r="B411" s="149" t="s">
        <v>102</v>
      </c>
      <c r="C411" s="150" t="s">
        <v>372</v>
      </c>
      <c r="D411" s="139" t="s">
        <v>304</v>
      </c>
      <c r="E411" s="139" t="s">
        <v>92</v>
      </c>
      <c r="F411" s="778" t="s">
        <v>92</v>
      </c>
      <c r="G411" s="779" t="s">
        <v>98</v>
      </c>
      <c r="H411" s="779" t="s">
        <v>92</v>
      </c>
      <c r="I411" s="780" t="s">
        <v>375</v>
      </c>
      <c r="J411" s="139" t="s">
        <v>103</v>
      </c>
      <c r="K411" s="151">
        <v>138.30000000000001</v>
      </c>
      <c r="L411" s="151">
        <f t="shared" ref="L411:L413" si="109">M411-K411</f>
        <v>0</v>
      </c>
      <c r="M411" s="151">
        <v>138.30000000000001</v>
      </c>
    </row>
    <row r="412" spans="1:13" s="148" customFormat="1" ht="37.5" hidden="1">
      <c r="A412" s="140"/>
      <c r="B412" s="149" t="s">
        <v>183</v>
      </c>
      <c r="C412" s="150" t="s">
        <v>372</v>
      </c>
      <c r="D412" s="139" t="s">
        <v>304</v>
      </c>
      <c r="E412" s="139" t="s">
        <v>92</v>
      </c>
      <c r="F412" s="778" t="s">
        <v>92</v>
      </c>
      <c r="G412" s="779" t="s">
        <v>98</v>
      </c>
      <c r="H412" s="779" t="s">
        <v>92</v>
      </c>
      <c r="I412" s="780" t="s">
        <v>375</v>
      </c>
      <c r="J412" s="139" t="s">
        <v>184</v>
      </c>
      <c r="K412" s="151">
        <v>14</v>
      </c>
      <c r="L412" s="151">
        <f t="shared" si="109"/>
        <v>0</v>
      </c>
      <c r="M412" s="151">
        <v>14</v>
      </c>
    </row>
    <row r="413" spans="1:13" s="148" customFormat="1" ht="56.25" hidden="1">
      <c r="A413" s="140"/>
      <c r="B413" s="149" t="s">
        <v>135</v>
      </c>
      <c r="C413" s="150" t="s">
        <v>372</v>
      </c>
      <c r="D413" s="139" t="s">
        <v>304</v>
      </c>
      <c r="E413" s="139" t="s">
        <v>92</v>
      </c>
      <c r="F413" s="778" t="s">
        <v>92</v>
      </c>
      <c r="G413" s="779" t="s">
        <v>98</v>
      </c>
      <c r="H413" s="779" t="s">
        <v>92</v>
      </c>
      <c r="I413" s="780" t="s">
        <v>375</v>
      </c>
      <c r="J413" s="139" t="s">
        <v>136</v>
      </c>
      <c r="K413" s="151">
        <f>1525.8+81.8</f>
        <v>1607.6</v>
      </c>
      <c r="L413" s="151">
        <f t="shared" si="109"/>
        <v>0</v>
      </c>
      <c r="M413" s="151">
        <f>1525.8+81.8</f>
        <v>1607.6</v>
      </c>
    </row>
    <row r="414" spans="1:13" s="148" customFormat="1" ht="131.25" hidden="1">
      <c r="A414" s="140"/>
      <c r="B414" s="149" t="s">
        <v>503</v>
      </c>
      <c r="C414" s="150" t="s">
        <v>372</v>
      </c>
      <c r="D414" s="139" t="s">
        <v>304</v>
      </c>
      <c r="E414" s="139" t="s">
        <v>92</v>
      </c>
      <c r="F414" s="778" t="s">
        <v>92</v>
      </c>
      <c r="G414" s="779" t="s">
        <v>98</v>
      </c>
      <c r="H414" s="779" t="s">
        <v>92</v>
      </c>
      <c r="I414" s="780" t="s">
        <v>376</v>
      </c>
      <c r="J414" s="139"/>
      <c r="K414" s="151">
        <f>K415+K416+K417</f>
        <v>386302.99999999994</v>
      </c>
      <c r="L414" s="151">
        <f>L415+L416+L417</f>
        <v>0</v>
      </c>
      <c r="M414" s="151">
        <f>M415+M416+M417</f>
        <v>386302.99999999994</v>
      </c>
    </row>
    <row r="415" spans="1:13" s="148" customFormat="1" ht="87.6" hidden="1" customHeight="1">
      <c r="A415" s="140"/>
      <c r="B415" s="149" t="s">
        <v>102</v>
      </c>
      <c r="C415" s="150" t="s">
        <v>372</v>
      </c>
      <c r="D415" s="139" t="s">
        <v>304</v>
      </c>
      <c r="E415" s="139" t="s">
        <v>92</v>
      </c>
      <c r="F415" s="778" t="s">
        <v>92</v>
      </c>
      <c r="G415" s="779" t="s">
        <v>98</v>
      </c>
      <c r="H415" s="779" t="s">
        <v>92</v>
      </c>
      <c r="I415" s="780" t="s">
        <v>376</v>
      </c>
      <c r="J415" s="139" t="s">
        <v>103</v>
      </c>
      <c r="K415" s="151">
        <f>29722.1+566.4</f>
        <v>30288.5</v>
      </c>
      <c r="L415" s="151">
        <f t="shared" ref="L415:L417" si="110">M415-K415</f>
        <v>0</v>
      </c>
      <c r="M415" s="151">
        <f>29722.1+566.4</f>
        <v>30288.5</v>
      </c>
    </row>
    <row r="416" spans="1:13" s="148" customFormat="1" ht="49.15" hidden="1" customHeight="1">
      <c r="A416" s="140"/>
      <c r="B416" s="149" t="s">
        <v>108</v>
      </c>
      <c r="C416" s="150" t="s">
        <v>372</v>
      </c>
      <c r="D416" s="139" t="s">
        <v>304</v>
      </c>
      <c r="E416" s="139" t="s">
        <v>92</v>
      </c>
      <c r="F416" s="778" t="s">
        <v>92</v>
      </c>
      <c r="G416" s="779" t="s">
        <v>98</v>
      </c>
      <c r="H416" s="779" t="s">
        <v>92</v>
      </c>
      <c r="I416" s="780" t="s">
        <v>376</v>
      </c>
      <c r="J416" s="139" t="s">
        <v>109</v>
      </c>
      <c r="K416" s="151">
        <f>1726.7+36.1+939</f>
        <v>2701.8</v>
      </c>
      <c r="L416" s="151">
        <f t="shared" si="110"/>
        <v>0</v>
      </c>
      <c r="M416" s="151">
        <f>1726.7+36.1+939</f>
        <v>2701.8</v>
      </c>
    </row>
    <row r="417" spans="1:13" s="148" customFormat="1" ht="56.25" hidden="1">
      <c r="A417" s="140"/>
      <c r="B417" s="149" t="s">
        <v>135</v>
      </c>
      <c r="C417" s="150" t="s">
        <v>372</v>
      </c>
      <c r="D417" s="139" t="s">
        <v>304</v>
      </c>
      <c r="E417" s="139" t="s">
        <v>92</v>
      </c>
      <c r="F417" s="778" t="s">
        <v>92</v>
      </c>
      <c r="G417" s="779" t="s">
        <v>98</v>
      </c>
      <c r="H417" s="779" t="s">
        <v>92</v>
      </c>
      <c r="I417" s="780" t="s">
        <v>376</v>
      </c>
      <c r="J417" s="139" t="s">
        <v>136</v>
      </c>
      <c r="K417" s="151">
        <f>345592.1+6570.7-3577.2+4727.1</f>
        <v>353312.69999999995</v>
      </c>
      <c r="L417" s="151">
        <f t="shared" si="110"/>
        <v>0</v>
      </c>
      <c r="M417" s="151">
        <f>345592.1+6570.7-3577.2+4727.1</f>
        <v>353312.69999999995</v>
      </c>
    </row>
    <row r="418" spans="1:13" s="148" customFormat="1" ht="93.75" hidden="1">
      <c r="A418" s="140"/>
      <c r="B418" s="149" t="s">
        <v>289</v>
      </c>
      <c r="C418" s="150" t="s">
        <v>372</v>
      </c>
      <c r="D418" s="139" t="s">
        <v>304</v>
      </c>
      <c r="E418" s="139" t="s">
        <v>92</v>
      </c>
      <c r="F418" s="778" t="s">
        <v>92</v>
      </c>
      <c r="G418" s="779" t="s">
        <v>98</v>
      </c>
      <c r="H418" s="779" t="s">
        <v>92</v>
      </c>
      <c r="I418" s="780" t="s">
        <v>382</v>
      </c>
      <c r="J418" s="139"/>
      <c r="K418" s="151">
        <f>SUM(K419:K420)</f>
        <v>4235.7</v>
      </c>
      <c r="L418" s="151">
        <f>SUM(L419:L420)</f>
        <v>-150</v>
      </c>
      <c r="M418" s="151">
        <f>SUM(M419:M420)</f>
        <v>4085.7</v>
      </c>
    </row>
    <row r="419" spans="1:13" s="148" customFormat="1" ht="56.45" hidden="1" customHeight="1">
      <c r="A419" s="140"/>
      <c r="B419" s="791" t="s">
        <v>108</v>
      </c>
      <c r="C419" s="785" t="s">
        <v>372</v>
      </c>
      <c r="D419" s="786" t="s">
        <v>304</v>
      </c>
      <c r="E419" s="786" t="s">
        <v>92</v>
      </c>
      <c r="F419" s="787" t="s">
        <v>92</v>
      </c>
      <c r="G419" s="788" t="s">
        <v>98</v>
      </c>
      <c r="H419" s="788" t="s">
        <v>92</v>
      </c>
      <c r="I419" s="789" t="s">
        <v>382</v>
      </c>
      <c r="J419" s="786" t="s">
        <v>109</v>
      </c>
      <c r="K419" s="706">
        <v>226.5</v>
      </c>
      <c r="L419" s="706">
        <f t="shared" ref="L419:L420" si="111">M419-K419</f>
        <v>-35</v>
      </c>
      <c r="M419" s="706">
        <f>226.5-35</f>
        <v>191.5</v>
      </c>
    </row>
    <row r="420" spans="1:13" s="148" customFormat="1" ht="56.25" hidden="1">
      <c r="A420" s="140"/>
      <c r="B420" s="791" t="s">
        <v>135</v>
      </c>
      <c r="C420" s="785" t="s">
        <v>372</v>
      </c>
      <c r="D420" s="786" t="s">
        <v>304</v>
      </c>
      <c r="E420" s="786" t="s">
        <v>92</v>
      </c>
      <c r="F420" s="787" t="s">
        <v>92</v>
      </c>
      <c r="G420" s="788" t="s">
        <v>98</v>
      </c>
      <c r="H420" s="788" t="s">
        <v>92</v>
      </c>
      <c r="I420" s="789" t="s">
        <v>382</v>
      </c>
      <c r="J420" s="786" t="s">
        <v>136</v>
      </c>
      <c r="K420" s="706">
        <v>4009.2</v>
      </c>
      <c r="L420" s="706">
        <f t="shared" si="111"/>
        <v>-115</v>
      </c>
      <c r="M420" s="706">
        <f>4009.2-115</f>
        <v>3894.2</v>
      </c>
    </row>
    <row r="421" spans="1:13" s="148" customFormat="1" ht="37.5" hidden="1">
      <c r="A421" s="140"/>
      <c r="B421" s="791" t="s">
        <v>897</v>
      </c>
      <c r="C421" s="785" t="s">
        <v>372</v>
      </c>
      <c r="D421" s="786" t="s">
        <v>304</v>
      </c>
      <c r="E421" s="786" t="s">
        <v>92</v>
      </c>
      <c r="F421" s="787" t="s">
        <v>92</v>
      </c>
      <c r="G421" s="788" t="s">
        <v>98</v>
      </c>
      <c r="H421" s="788" t="s">
        <v>92</v>
      </c>
      <c r="I421" s="789" t="s">
        <v>896</v>
      </c>
      <c r="J421" s="786"/>
      <c r="K421" s="706">
        <f>K422</f>
        <v>0</v>
      </c>
      <c r="L421" s="706">
        <f>L422</f>
        <v>4</v>
      </c>
      <c r="M421" s="706">
        <f>M422</f>
        <v>4</v>
      </c>
    </row>
    <row r="422" spans="1:13" s="148" customFormat="1" ht="56.25" hidden="1">
      <c r="A422" s="140"/>
      <c r="B422" s="791" t="s">
        <v>135</v>
      </c>
      <c r="C422" s="785" t="s">
        <v>372</v>
      </c>
      <c r="D422" s="786" t="s">
        <v>304</v>
      </c>
      <c r="E422" s="786" t="s">
        <v>92</v>
      </c>
      <c r="F422" s="787" t="s">
        <v>92</v>
      </c>
      <c r="G422" s="788" t="s">
        <v>98</v>
      </c>
      <c r="H422" s="788" t="s">
        <v>92</v>
      </c>
      <c r="I422" s="789" t="s">
        <v>896</v>
      </c>
      <c r="J422" s="786" t="s">
        <v>136</v>
      </c>
      <c r="K422" s="706">
        <v>0</v>
      </c>
      <c r="L422" s="706">
        <f>M422-K422</f>
        <v>4</v>
      </c>
      <c r="M422" s="706">
        <v>4</v>
      </c>
    </row>
    <row r="423" spans="1:13" s="148" customFormat="1" ht="56.25" hidden="1">
      <c r="A423" s="140"/>
      <c r="B423" s="149" t="s">
        <v>899</v>
      </c>
      <c r="C423" s="150" t="s">
        <v>372</v>
      </c>
      <c r="D423" s="139" t="s">
        <v>304</v>
      </c>
      <c r="E423" s="139" t="s">
        <v>92</v>
      </c>
      <c r="F423" s="778" t="s">
        <v>92</v>
      </c>
      <c r="G423" s="779" t="s">
        <v>98</v>
      </c>
      <c r="H423" s="779" t="s">
        <v>92</v>
      </c>
      <c r="I423" s="780" t="s">
        <v>890</v>
      </c>
      <c r="J423" s="139"/>
      <c r="K423" s="151">
        <f>K424</f>
        <v>500</v>
      </c>
      <c r="L423" s="151">
        <f t="shared" ref="L423:L424" si="112">M423-K423</f>
        <v>1500</v>
      </c>
      <c r="M423" s="151">
        <f>M424</f>
        <v>2000</v>
      </c>
    </row>
    <row r="424" spans="1:13" s="148" customFormat="1" ht="56.25" hidden="1">
      <c r="A424" s="140"/>
      <c r="B424" s="791" t="s">
        <v>135</v>
      </c>
      <c r="C424" s="785" t="s">
        <v>372</v>
      </c>
      <c r="D424" s="786" t="s">
        <v>304</v>
      </c>
      <c r="E424" s="786" t="s">
        <v>92</v>
      </c>
      <c r="F424" s="787" t="s">
        <v>92</v>
      </c>
      <c r="G424" s="788" t="s">
        <v>98</v>
      </c>
      <c r="H424" s="788" t="s">
        <v>92</v>
      </c>
      <c r="I424" s="789" t="s">
        <v>890</v>
      </c>
      <c r="J424" s="786" t="s">
        <v>136</v>
      </c>
      <c r="K424" s="706">
        <v>500</v>
      </c>
      <c r="L424" s="706">
        <f t="shared" si="112"/>
        <v>1500</v>
      </c>
      <c r="M424" s="706">
        <f>500+1500</f>
        <v>2000</v>
      </c>
    </row>
    <row r="425" spans="1:13" s="148" customFormat="1" ht="56.25" hidden="1">
      <c r="A425" s="140"/>
      <c r="B425" s="149" t="s">
        <v>844</v>
      </c>
      <c r="C425" s="150" t="s">
        <v>372</v>
      </c>
      <c r="D425" s="139" t="s">
        <v>304</v>
      </c>
      <c r="E425" s="139" t="s">
        <v>92</v>
      </c>
      <c r="F425" s="778" t="s">
        <v>92</v>
      </c>
      <c r="G425" s="779" t="s">
        <v>98</v>
      </c>
      <c r="H425" s="779" t="s">
        <v>92</v>
      </c>
      <c r="I425" s="780" t="s">
        <v>843</v>
      </c>
      <c r="J425" s="139"/>
      <c r="K425" s="151">
        <f>K426+K427</f>
        <v>2237.6999999999998</v>
      </c>
      <c r="L425" s="151">
        <f>L426+L427</f>
        <v>1742.6000000000001</v>
      </c>
      <c r="M425" s="151">
        <f>M426+M427</f>
        <v>3980.3</v>
      </c>
    </row>
    <row r="426" spans="1:13" s="148" customFormat="1" ht="56.25" hidden="1">
      <c r="A426" s="140"/>
      <c r="B426" s="149" t="s">
        <v>108</v>
      </c>
      <c r="C426" s="150" t="s">
        <v>372</v>
      </c>
      <c r="D426" s="139" t="s">
        <v>304</v>
      </c>
      <c r="E426" s="139" t="s">
        <v>92</v>
      </c>
      <c r="F426" s="778" t="s">
        <v>92</v>
      </c>
      <c r="G426" s="779" t="s">
        <v>98</v>
      </c>
      <c r="H426" s="779" t="s">
        <v>92</v>
      </c>
      <c r="I426" s="780" t="s">
        <v>843</v>
      </c>
      <c r="J426" s="139" t="s">
        <v>109</v>
      </c>
      <c r="K426" s="151">
        <v>2237.6999999999998</v>
      </c>
      <c r="L426" s="151">
        <f>M426-K426</f>
        <v>0</v>
      </c>
      <c r="M426" s="151">
        <v>2237.6999999999998</v>
      </c>
    </row>
    <row r="427" spans="1:13" s="148" customFormat="1" ht="56.25" hidden="1">
      <c r="A427" s="140"/>
      <c r="B427" s="791" t="s">
        <v>135</v>
      </c>
      <c r="C427" s="785" t="s">
        <v>372</v>
      </c>
      <c r="D427" s="786" t="s">
        <v>304</v>
      </c>
      <c r="E427" s="786" t="s">
        <v>92</v>
      </c>
      <c r="F427" s="787" t="s">
        <v>92</v>
      </c>
      <c r="G427" s="788" t="s">
        <v>98</v>
      </c>
      <c r="H427" s="788" t="s">
        <v>92</v>
      </c>
      <c r="I427" s="789" t="s">
        <v>843</v>
      </c>
      <c r="J427" s="786" t="s">
        <v>136</v>
      </c>
      <c r="K427" s="706">
        <v>0</v>
      </c>
      <c r="L427" s="706">
        <f>M427-K427</f>
        <v>1742.6000000000001</v>
      </c>
      <c r="M427" s="706">
        <f>87.2+1655.4</f>
        <v>1742.6000000000001</v>
      </c>
    </row>
    <row r="428" spans="1:13" s="148" customFormat="1" ht="18.75" hidden="1">
      <c r="A428" s="140"/>
      <c r="B428" s="149" t="s">
        <v>842</v>
      </c>
      <c r="C428" s="150" t="s">
        <v>372</v>
      </c>
      <c r="D428" s="139" t="s">
        <v>304</v>
      </c>
      <c r="E428" s="139" t="s">
        <v>92</v>
      </c>
      <c r="F428" s="778" t="s">
        <v>92</v>
      </c>
      <c r="G428" s="779" t="s">
        <v>98</v>
      </c>
      <c r="H428" s="779" t="s">
        <v>839</v>
      </c>
      <c r="I428" s="780" t="s">
        <v>97</v>
      </c>
      <c r="J428" s="139"/>
      <c r="K428" s="151">
        <f>K429+K431</f>
        <v>6603.2</v>
      </c>
      <c r="L428" s="151">
        <f>L429+L431</f>
        <v>9784.4000000000015</v>
      </c>
      <c r="M428" s="151">
        <f>M429+M431</f>
        <v>16387.600000000002</v>
      </c>
    </row>
    <row r="429" spans="1:13" s="148" customFormat="1" ht="52.9" hidden="1" customHeight="1">
      <c r="A429" s="140"/>
      <c r="B429" s="149" t="s">
        <v>841</v>
      </c>
      <c r="C429" s="150" t="s">
        <v>372</v>
      </c>
      <c r="D429" s="139" t="s">
        <v>304</v>
      </c>
      <c r="E429" s="139" t="s">
        <v>92</v>
      </c>
      <c r="F429" s="778" t="s">
        <v>92</v>
      </c>
      <c r="G429" s="779" t="s">
        <v>98</v>
      </c>
      <c r="H429" s="779" t="s">
        <v>839</v>
      </c>
      <c r="I429" s="780" t="s">
        <v>840</v>
      </c>
      <c r="J429" s="139"/>
      <c r="K429" s="151">
        <v>6603.2</v>
      </c>
      <c r="L429" s="151">
        <f t="shared" ref="L429:L430" si="113">M429-K429</f>
        <v>0</v>
      </c>
      <c r="M429" s="151">
        <v>6603.2</v>
      </c>
    </row>
    <row r="430" spans="1:13" s="148" customFormat="1" ht="56.25" hidden="1">
      <c r="A430" s="140"/>
      <c r="B430" s="149" t="s">
        <v>135</v>
      </c>
      <c r="C430" s="150" t="s">
        <v>372</v>
      </c>
      <c r="D430" s="139" t="s">
        <v>304</v>
      </c>
      <c r="E430" s="139" t="s">
        <v>92</v>
      </c>
      <c r="F430" s="778" t="s">
        <v>92</v>
      </c>
      <c r="G430" s="779" t="s">
        <v>98</v>
      </c>
      <c r="H430" s="779" t="s">
        <v>839</v>
      </c>
      <c r="I430" s="780" t="s">
        <v>840</v>
      </c>
      <c r="J430" s="139" t="s">
        <v>136</v>
      </c>
      <c r="K430" s="151">
        <v>6603.2</v>
      </c>
      <c r="L430" s="151">
        <f t="shared" si="113"/>
        <v>0</v>
      </c>
      <c r="M430" s="151">
        <v>6603.2</v>
      </c>
    </row>
    <row r="431" spans="1:13" s="148" customFormat="1" ht="75" hidden="1">
      <c r="A431" s="140"/>
      <c r="B431" s="791" t="s">
        <v>841</v>
      </c>
      <c r="C431" s="785" t="s">
        <v>372</v>
      </c>
      <c r="D431" s="786" t="s">
        <v>304</v>
      </c>
      <c r="E431" s="786" t="s">
        <v>92</v>
      </c>
      <c r="F431" s="787" t="s">
        <v>92</v>
      </c>
      <c r="G431" s="788" t="s">
        <v>98</v>
      </c>
      <c r="H431" s="788" t="s">
        <v>839</v>
      </c>
      <c r="I431" s="789" t="s">
        <v>898</v>
      </c>
      <c r="J431" s="786"/>
      <c r="K431" s="706">
        <f>K432</f>
        <v>0</v>
      </c>
      <c r="L431" s="706">
        <f>L432</f>
        <v>9784.4000000000015</v>
      </c>
      <c r="M431" s="706">
        <f>M432</f>
        <v>9784.4000000000015</v>
      </c>
    </row>
    <row r="432" spans="1:13" s="148" customFormat="1" ht="56.25" hidden="1">
      <c r="A432" s="140"/>
      <c r="B432" s="791" t="s">
        <v>135</v>
      </c>
      <c r="C432" s="785" t="s">
        <v>372</v>
      </c>
      <c r="D432" s="786" t="s">
        <v>304</v>
      </c>
      <c r="E432" s="786" t="s">
        <v>92</v>
      </c>
      <c r="F432" s="787" t="s">
        <v>92</v>
      </c>
      <c r="G432" s="788" t="s">
        <v>98</v>
      </c>
      <c r="H432" s="788" t="s">
        <v>839</v>
      </c>
      <c r="I432" s="789" t="s">
        <v>898</v>
      </c>
      <c r="J432" s="786" t="s">
        <v>136</v>
      </c>
      <c r="K432" s="706">
        <v>0</v>
      </c>
      <c r="L432" s="706">
        <f>M432-K432</f>
        <v>9784.4000000000015</v>
      </c>
      <c r="M432" s="706">
        <f>293.7+9490.7</f>
        <v>9784.4000000000015</v>
      </c>
    </row>
    <row r="433" spans="1:13" s="148" customFormat="1" ht="56.25" hidden="1">
      <c r="A433" s="140"/>
      <c r="B433" s="149" t="s">
        <v>292</v>
      </c>
      <c r="C433" s="150" t="s">
        <v>372</v>
      </c>
      <c r="D433" s="139" t="s">
        <v>304</v>
      </c>
      <c r="E433" s="139" t="s">
        <v>92</v>
      </c>
      <c r="F433" s="778" t="s">
        <v>92</v>
      </c>
      <c r="G433" s="779" t="s">
        <v>83</v>
      </c>
      <c r="H433" s="779" t="s">
        <v>96</v>
      </c>
      <c r="I433" s="780" t="s">
        <v>97</v>
      </c>
      <c r="J433" s="139"/>
      <c r="K433" s="151">
        <f t="shared" ref="K433:M434" si="114">K434</f>
        <v>2370.6999999999998</v>
      </c>
      <c r="L433" s="151">
        <f t="shared" si="114"/>
        <v>0</v>
      </c>
      <c r="M433" s="151">
        <f t="shared" si="114"/>
        <v>2370.6999999999998</v>
      </c>
    </row>
    <row r="434" spans="1:13" s="148" customFormat="1" ht="37.5" hidden="1">
      <c r="A434" s="140"/>
      <c r="B434" s="149" t="s">
        <v>389</v>
      </c>
      <c r="C434" s="150" t="s">
        <v>372</v>
      </c>
      <c r="D434" s="139" t="s">
        <v>304</v>
      </c>
      <c r="E434" s="139" t="s">
        <v>92</v>
      </c>
      <c r="F434" s="778" t="s">
        <v>92</v>
      </c>
      <c r="G434" s="779" t="s">
        <v>83</v>
      </c>
      <c r="H434" s="779" t="s">
        <v>90</v>
      </c>
      <c r="I434" s="780" t="s">
        <v>97</v>
      </c>
      <c r="J434" s="139"/>
      <c r="K434" s="151">
        <f t="shared" si="114"/>
        <v>2370.6999999999998</v>
      </c>
      <c r="L434" s="151">
        <f t="shared" si="114"/>
        <v>0</v>
      </c>
      <c r="M434" s="151">
        <f t="shared" si="114"/>
        <v>2370.6999999999998</v>
      </c>
    </row>
    <row r="435" spans="1:13" s="148" customFormat="1" ht="18.75" hidden="1">
      <c r="A435" s="140"/>
      <c r="B435" s="149" t="s">
        <v>810</v>
      </c>
      <c r="C435" s="150" t="s">
        <v>372</v>
      </c>
      <c r="D435" s="139" t="s">
        <v>304</v>
      </c>
      <c r="E435" s="139" t="s">
        <v>92</v>
      </c>
      <c r="F435" s="778" t="s">
        <v>92</v>
      </c>
      <c r="G435" s="779" t="s">
        <v>83</v>
      </c>
      <c r="H435" s="779" t="s">
        <v>90</v>
      </c>
      <c r="I435" s="780" t="s">
        <v>504</v>
      </c>
      <c r="J435" s="139"/>
      <c r="K435" s="151">
        <f>K437+K436</f>
        <v>2370.6999999999998</v>
      </c>
      <c r="L435" s="151">
        <f>L437+L436</f>
        <v>0</v>
      </c>
      <c r="M435" s="151">
        <f>M437+M436</f>
        <v>2370.6999999999998</v>
      </c>
    </row>
    <row r="436" spans="1:13" s="148" customFormat="1" ht="90" hidden="1" customHeight="1">
      <c r="A436" s="140"/>
      <c r="B436" s="149" t="s">
        <v>102</v>
      </c>
      <c r="C436" s="150" t="s">
        <v>372</v>
      </c>
      <c r="D436" s="139" t="s">
        <v>304</v>
      </c>
      <c r="E436" s="139" t="s">
        <v>92</v>
      </c>
      <c r="F436" s="778" t="s">
        <v>92</v>
      </c>
      <c r="G436" s="779" t="s">
        <v>83</v>
      </c>
      <c r="H436" s="779" t="s">
        <v>90</v>
      </c>
      <c r="I436" s="780" t="s">
        <v>504</v>
      </c>
      <c r="J436" s="139" t="s">
        <v>103</v>
      </c>
      <c r="K436" s="151">
        <v>29.789760000000001</v>
      </c>
      <c r="L436" s="151">
        <f>M436-K436</f>
        <v>0</v>
      </c>
      <c r="M436" s="151">
        <v>29.789760000000001</v>
      </c>
    </row>
    <row r="437" spans="1:13" s="148" customFormat="1" ht="56.25" hidden="1">
      <c r="A437" s="140"/>
      <c r="B437" s="149" t="s">
        <v>135</v>
      </c>
      <c r="C437" s="150" t="s">
        <v>372</v>
      </c>
      <c r="D437" s="139" t="s">
        <v>304</v>
      </c>
      <c r="E437" s="139" t="s">
        <v>92</v>
      </c>
      <c r="F437" s="778" t="s">
        <v>92</v>
      </c>
      <c r="G437" s="779" t="s">
        <v>83</v>
      </c>
      <c r="H437" s="779" t="s">
        <v>90</v>
      </c>
      <c r="I437" s="780" t="s">
        <v>504</v>
      </c>
      <c r="J437" s="139" t="s">
        <v>136</v>
      </c>
      <c r="K437" s="151">
        <f>2072.1+298.6-29.78976</f>
        <v>2340.9102399999997</v>
      </c>
      <c r="L437" s="151">
        <f>M437-K437</f>
        <v>0</v>
      </c>
      <c r="M437" s="151">
        <f>2072.1+298.6-29.78976</f>
        <v>2340.9102399999997</v>
      </c>
    </row>
    <row r="438" spans="1:13" s="148" customFormat="1" ht="18.75" hidden="1">
      <c r="A438" s="140"/>
      <c r="B438" s="149" t="s">
        <v>517</v>
      </c>
      <c r="C438" s="150" t="s">
        <v>372</v>
      </c>
      <c r="D438" s="139" t="s">
        <v>304</v>
      </c>
      <c r="E438" s="139" t="s">
        <v>119</v>
      </c>
      <c r="F438" s="778"/>
      <c r="G438" s="779"/>
      <c r="H438" s="779"/>
      <c r="I438" s="780"/>
      <c r="J438" s="139"/>
      <c r="K438" s="151">
        <f t="shared" ref="K438:M439" si="115">K439</f>
        <v>54173.80346000001</v>
      </c>
      <c r="L438" s="151">
        <f t="shared" si="115"/>
        <v>380.58499999999992</v>
      </c>
      <c r="M438" s="151">
        <f t="shared" si="115"/>
        <v>54554.388460000002</v>
      </c>
    </row>
    <row r="439" spans="1:13" s="148" customFormat="1" ht="56.25" hidden="1">
      <c r="A439" s="140"/>
      <c r="B439" s="675" t="s">
        <v>284</v>
      </c>
      <c r="C439" s="150" t="s">
        <v>372</v>
      </c>
      <c r="D439" s="139" t="s">
        <v>304</v>
      </c>
      <c r="E439" s="139" t="s">
        <v>119</v>
      </c>
      <c r="F439" s="778" t="s">
        <v>92</v>
      </c>
      <c r="G439" s="779" t="s">
        <v>95</v>
      </c>
      <c r="H439" s="779" t="s">
        <v>96</v>
      </c>
      <c r="I439" s="780" t="s">
        <v>97</v>
      </c>
      <c r="J439" s="139"/>
      <c r="K439" s="151">
        <f t="shared" si="115"/>
        <v>54173.80346000001</v>
      </c>
      <c r="L439" s="151">
        <f t="shared" si="115"/>
        <v>380.58499999999992</v>
      </c>
      <c r="M439" s="151">
        <f t="shared" si="115"/>
        <v>54554.388460000002</v>
      </c>
    </row>
    <row r="440" spans="1:13" s="148" customFormat="1" ht="37.5" hidden="1">
      <c r="A440" s="140"/>
      <c r="B440" s="149" t="s">
        <v>290</v>
      </c>
      <c r="C440" s="150" t="s">
        <v>372</v>
      </c>
      <c r="D440" s="139" t="s">
        <v>304</v>
      </c>
      <c r="E440" s="139" t="s">
        <v>119</v>
      </c>
      <c r="F440" s="778" t="s">
        <v>92</v>
      </c>
      <c r="G440" s="779" t="s">
        <v>150</v>
      </c>
      <c r="H440" s="779" t="s">
        <v>96</v>
      </c>
      <c r="I440" s="780" t="s">
        <v>97</v>
      </c>
      <c r="J440" s="139"/>
      <c r="K440" s="151">
        <f>K441</f>
        <v>54173.80346000001</v>
      </c>
      <c r="L440" s="151">
        <f>L441</f>
        <v>380.58499999999992</v>
      </c>
      <c r="M440" s="151">
        <f>M441</f>
        <v>54554.388460000002</v>
      </c>
    </row>
    <row r="441" spans="1:13" s="148" customFormat="1" ht="37.5" hidden="1">
      <c r="A441" s="140"/>
      <c r="B441" s="149" t="s">
        <v>383</v>
      </c>
      <c r="C441" s="150" t="s">
        <v>372</v>
      </c>
      <c r="D441" s="139" t="s">
        <v>304</v>
      </c>
      <c r="E441" s="139" t="s">
        <v>119</v>
      </c>
      <c r="F441" s="778" t="s">
        <v>92</v>
      </c>
      <c r="G441" s="779" t="s">
        <v>150</v>
      </c>
      <c r="H441" s="779" t="s">
        <v>90</v>
      </c>
      <c r="I441" s="780" t="s">
        <v>97</v>
      </c>
      <c r="J441" s="139"/>
      <c r="K441" s="151">
        <f>K442+K458+K454+K449+K456+K447++K452+K460+K466+K462+K464</f>
        <v>54173.80346000001</v>
      </c>
      <c r="L441" s="151">
        <f>L442+L458+L454+L449+L456+L447++L452+L460+L466+L462+L464</f>
        <v>380.58499999999992</v>
      </c>
      <c r="M441" s="151">
        <f>M442+M458+M454+M449+M456+M447++M452+M460+M466+M462+M464</f>
        <v>54554.388460000002</v>
      </c>
    </row>
    <row r="442" spans="1:13" s="148" customFormat="1" ht="72" hidden="1" customHeight="1">
      <c r="A442" s="140"/>
      <c r="B442" s="149" t="s">
        <v>151</v>
      </c>
      <c r="C442" s="150" t="s">
        <v>372</v>
      </c>
      <c r="D442" s="139" t="s">
        <v>304</v>
      </c>
      <c r="E442" s="139" t="s">
        <v>119</v>
      </c>
      <c r="F442" s="778" t="s">
        <v>92</v>
      </c>
      <c r="G442" s="779" t="s">
        <v>150</v>
      </c>
      <c r="H442" s="779" t="s">
        <v>90</v>
      </c>
      <c r="I442" s="780" t="s">
        <v>153</v>
      </c>
      <c r="J442" s="139"/>
      <c r="K442" s="151">
        <f t="shared" ref="K442:M442" si="116">SUM(K443:K446)</f>
        <v>45217.203460000004</v>
      </c>
      <c r="L442" s="151">
        <f t="shared" ref="L442" si="117">SUM(L443:L446)</f>
        <v>48.5</v>
      </c>
      <c r="M442" s="151">
        <f t="shared" si="116"/>
        <v>45265.703460000004</v>
      </c>
    </row>
    <row r="443" spans="1:13" s="148" customFormat="1" ht="105" hidden="1" customHeight="1">
      <c r="A443" s="140"/>
      <c r="B443" s="791" t="s">
        <v>102</v>
      </c>
      <c r="C443" s="785" t="s">
        <v>372</v>
      </c>
      <c r="D443" s="786" t="s">
        <v>304</v>
      </c>
      <c r="E443" s="786" t="s">
        <v>119</v>
      </c>
      <c r="F443" s="787" t="s">
        <v>92</v>
      </c>
      <c r="G443" s="788" t="s">
        <v>150</v>
      </c>
      <c r="H443" s="788" t="s">
        <v>90</v>
      </c>
      <c r="I443" s="789" t="s">
        <v>153</v>
      </c>
      <c r="J443" s="786" t="s">
        <v>103</v>
      </c>
      <c r="K443" s="706">
        <f>23225.1+889.9+33+294</f>
        <v>24442</v>
      </c>
      <c r="L443" s="706">
        <f t="shared" ref="L443:L448" si="118">M443-K443</f>
        <v>0</v>
      </c>
      <c r="M443" s="706">
        <f>23225.1+889.9+33+294</f>
        <v>24442</v>
      </c>
    </row>
    <row r="444" spans="1:13" s="148" customFormat="1" ht="54" hidden="1" customHeight="1">
      <c r="A444" s="140"/>
      <c r="B444" s="149" t="s">
        <v>108</v>
      </c>
      <c r="C444" s="150" t="s">
        <v>372</v>
      </c>
      <c r="D444" s="139" t="s">
        <v>304</v>
      </c>
      <c r="E444" s="139" t="s">
        <v>119</v>
      </c>
      <c r="F444" s="778" t="s">
        <v>92</v>
      </c>
      <c r="G444" s="779" t="s">
        <v>150</v>
      </c>
      <c r="H444" s="779" t="s">
        <v>90</v>
      </c>
      <c r="I444" s="780" t="s">
        <v>153</v>
      </c>
      <c r="J444" s="139" t="s">
        <v>109</v>
      </c>
      <c r="K444" s="151">
        <f>1797+427.4+0.70346-33.8-294-0.75-3.5-10</f>
        <v>1883.0534600000001</v>
      </c>
      <c r="L444" s="151">
        <f t="shared" si="118"/>
        <v>0</v>
      </c>
      <c r="M444" s="151">
        <f>1797+427.4+0.70346-33.8-294-0.75-3.5-10</f>
        <v>1883.0534600000001</v>
      </c>
    </row>
    <row r="445" spans="1:13" s="148" customFormat="1" ht="56.25" hidden="1">
      <c r="A445" s="140"/>
      <c r="B445" s="149" t="s">
        <v>135</v>
      </c>
      <c r="C445" s="150" t="s">
        <v>372</v>
      </c>
      <c r="D445" s="139" t="s">
        <v>304</v>
      </c>
      <c r="E445" s="139" t="s">
        <v>119</v>
      </c>
      <c r="F445" s="778" t="s">
        <v>92</v>
      </c>
      <c r="G445" s="779" t="s">
        <v>150</v>
      </c>
      <c r="H445" s="779" t="s">
        <v>90</v>
      </c>
      <c r="I445" s="780" t="s">
        <v>153</v>
      </c>
      <c r="J445" s="139" t="s">
        <v>136</v>
      </c>
      <c r="K445" s="151">
        <f>17777.5+1034.1</f>
        <v>18811.599999999999</v>
      </c>
      <c r="L445" s="151">
        <f t="shared" si="118"/>
        <v>48.5</v>
      </c>
      <c r="M445" s="151">
        <f>17777.5+1034.1+48.5</f>
        <v>18860.099999999999</v>
      </c>
    </row>
    <row r="446" spans="1:13" s="148" customFormat="1" ht="18.75" hidden="1">
      <c r="A446" s="140"/>
      <c r="B446" s="149" t="s">
        <v>110</v>
      </c>
      <c r="C446" s="150" t="s">
        <v>372</v>
      </c>
      <c r="D446" s="139" t="s">
        <v>304</v>
      </c>
      <c r="E446" s="139" t="s">
        <v>119</v>
      </c>
      <c r="F446" s="778" t="s">
        <v>92</v>
      </c>
      <c r="G446" s="779" t="s">
        <v>150</v>
      </c>
      <c r="H446" s="779" t="s">
        <v>90</v>
      </c>
      <c r="I446" s="780" t="s">
        <v>153</v>
      </c>
      <c r="J446" s="139" t="s">
        <v>111</v>
      </c>
      <c r="K446" s="151">
        <f>65.5+0.8+0.75+3.5+10</f>
        <v>80.55</v>
      </c>
      <c r="L446" s="151">
        <f t="shared" si="118"/>
        <v>0</v>
      </c>
      <c r="M446" s="151">
        <f>65.5+0.8+0.75+3.5+10</f>
        <v>80.55</v>
      </c>
    </row>
    <row r="447" spans="1:13" s="148" customFormat="1" ht="37.5" hidden="1">
      <c r="A447" s="140"/>
      <c r="B447" s="149" t="s">
        <v>619</v>
      </c>
      <c r="C447" s="150" t="s">
        <v>372</v>
      </c>
      <c r="D447" s="139" t="s">
        <v>304</v>
      </c>
      <c r="E447" s="139" t="s">
        <v>119</v>
      </c>
      <c r="F447" s="778" t="s">
        <v>92</v>
      </c>
      <c r="G447" s="779" t="s">
        <v>150</v>
      </c>
      <c r="H447" s="779" t="s">
        <v>90</v>
      </c>
      <c r="I447" s="780" t="s">
        <v>618</v>
      </c>
      <c r="J447" s="139"/>
      <c r="K447" s="151">
        <f>K448</f>
        <v>1905.8000000000002</v>
      </c>
      <c r="L447" s="151">
        <f>L448</f>
        <v>-39.700000000000045</v>
      </c>
      <c r="M447" s="151">
        <f>M448</f>
        <v>1866.1000000000001</v>
      </c>
    </row>
    <row r="448" spans="1:13" s="148" customFormat="1" ht="55.9" hidden="1" customHeight="1">
      <c r="A448" s="140"/>
      <c r="B448" s="791" t="s">
        <v>108</v>
      </c>
      <c r="C448" s="785" t="s">
        <v>372</v>
      </c>
      <c r="D448" s="786" t="s">
        <v>304</v>
      </c>
      <c r="E448" s="786" t="s">
        <v>119</v>
      </c>
      <c r="F448" s="787" t="s">
        <v>92</v>
      </c>
      <c r="G448" s="788" t="s">
        <v>150</v>
      </c>
      <c r="H448" s="788" t="s">
        <v>90</v>
      </c>
      <c r="I448" s="789" t="s">
        <v>618</v>
      </c>
      <c r="J448" s="786" t="s">
        <v>109</v>
      </c>
      <c r="K448" s="706">
        <f>39.7+68.9+50+1747.2</f>
        <v>1905.8000000000002</v>
      </c>
      <c r="L448" s="706">
        <f t="shared" si="118"/>
        <v>-39.700000000000045</v>
      </c>
      <c r="M448" s="706">
        <f>39.7+68.9+50+1747.2-39.7</f>
        <v>1866.1000000000001</v>
      </c>
    </row>
    <row r="449" spans="1:13" s="148" customFormat="1" ht="56.25" hidden="1">
      <c r="A449" s="140"/>
      <c r="B449" s="149" t="s">
        <v>286</v>
      </c>
      <c r="C449" s="150" t="s">
        <v>372</v>
      </c>
      <c r="D449" s="139" t="s">
        <v>304</v>
      </c>
      <c r="E449" s="139" t="s">
        <v>119</v>
      </c>
      <c r="F449" s="778" t="s">
        <v>92</v>
      </c>
      <c r="G449" s="779" t="s">
        <v>150</v>
      </c>
      <c r="H449" s="779" t="s">
        <v>90</v>
      </c>
      <c r="I449" s="780" t="s">
        <v>379</v>
      </c>
      <c r="J449" s="139"/>
      <c r="K449" s="151">
        <f>SUM(K450:K451)</f>
        <v>970.8</v>
      </c>
      <c r="L449" s="151">
        <f>SUM(L450:L451)</f>
        <v>11.184999999999945</v>
      </c>
      <c r="M449" s="151">
        <f>SUM(M450:M451)</f>
        <v>981.9849999999999</v>
      </c>
    </row>
    <row r="450" spans="1:13" s="148" customFormat="1" ht="55.15" hidden="1" customHeight="1">
      <c r="A450" s="140"/>
      <c r="B450" s="791" t="s">
        <v>108</v>
      </c>
      <c r="C450" s="785" t="s">
        <v>372</v>
      </c>
      <c r="D450" s="786" t="s">
        <v>304</v>
      </c>
      <c r="E450" s="786" t="s">
        <v>119</v>
      </c>
      <c r="F450" s="787" t="s">
        <v>92</v>
      </c>
      <c r="G450" s="788" t="s">
        <v>150</v>
      </c>
      <c r="H450" s="788" t="s">
        <v>90</v>
      </c>
      <c r="I450" s="789" t="s">
        <v>379</v>
      </c>
      <c r="J450" s="786" t="s">
        <v>109</v>
      </c>
      <c r="K450" s="706">
        <f>460.9+81.8</f>
        <v>542.69999999999993</v>
      </c>
      <c r="L450" s="706">
        <f t="shared" ref="L450:L451" si="119">M450-K450</f>
        <v>-17.213000000000079</v>
      </c>
      <c r="M450" s="706">
        <f>460.9+81.8+0.4-17.613</f>
        <v>525.48699999999985</v>
      </c>
    </row>
    <row r="451" spans="1:13" s="148" customFormat="1" ht="56.25" hidden="1">
      <c r="A451" s="140"/>
      <c r="B451" s="808" t="s">
        <v>135</v>
      </c>
      <c r="C451" s="785" t="s">
        <v>372</v>
      </c>
      <c r="D451" s="786" t="s">
        <v>304</v>
      </c>
      <c r="E451" s="786" t="s">
        <v>119</v>
      </c>
      <c r="F451" s="787" t="s">
        <v>92</v>
      </c>
      <c r="G451" s="788" t="s">
        <v>150</v>
      </c>
      <c r="H451" s="788" t="s">
        <v>90</v>
      </c>
      <c r="I451" s="789" t="s">
        <v>379</v>
      </c>
      <c r="J451" s="786" t="s">
        <v>136</v>
      </c>
      <c r="K451" s="706">
        <f>344.6+83.5</f>
        <v>428.1</v>
      </c>
      <c r="L451" s="706">
        <f t="shared" si="119"/>
        <v>28.398000000000025</v>
      </c>
      <c r="M451" s="792">
        <f>344.6+83.5+55.5-27.102</f>
        <v>456.49800000000005</v>
      </c>
    </row>
    <row r="452" spans="1:13" s="148" customFormat="1" ht="37.5" hidden="1">
      <c r="A452" s="140"/>
      <c r="B452" s="149" t="s">
        <v>287</v>
      </c>
      <c r="C452" s="150" t="s">
        <v>372</v>
      </c>
      <c r="D452" s="139" t="s">
        <v>304</v>
      </c>
      <c r="E452" s="139" t="s">
        <v>119</v>
      </c>
      <c r="F452" s="778" t="s">
        <v>92</v>
      </c>
      <c r="G452" s="779" t="s">
        <v>150</v>
      </c>
      <c r="H452" s="779" t="s">
        <v>90</v>
      </c>
      <c r="I452" s="780" t="s">
        <v>380</v>
      </c>
      <c r="J452" s="139"/>
      <c r="K452" s="151">
        <f>K453</f>
        <v>154.30000000000001</v>
      </c>
      <c r="L452" s="151">
        <f>L453</f>
        <v>259.60000000000002</v>
      </c>
      <c r="M452" s="151">
        <f>M453</f>
        <v>413.90000000000003</v>
      </c>
    </row>
    <row r="453" spans="1:13" s="148" customFormat="1" ht="62.45" hidden="1" customHeight="1">
      <c r="A453" s="140"/>
      <c r="B453" s="791" t="s">
        <v>108</v>
      </c>
      <c r="C453" s="785" t="s">
        <v>372</v>
      </c>
      <c r="D453" s="786" t="s">
        <v>304</v>
      </c>
      <c r="E453" s="786" t="s">
        <v>119</v>
      </c>
      <c r="F453" s="787" t="s">
        <v>92</v>
      </c>
      <c r="G453" s="788" t="s">
        <v>150</v>
      </c>
      <c r="H453" s="788" t="s">
        <v>90</v>
      </c>
      <c r="I453" s="789" t="s">
        <v>380</v>
      </c>
      <c r="J453" s="786" t="s">
        <v>109</v>
      </c>
      <c r="K453" s="706">
        <f>70+146.3-62</f>
        <v>154.30000000000001</v>
      </c>
      <c r="L453" s="706">
        <f>M453-K453</f>
        <v>259.60000000000002</v>
      </c>
      <c r="M453" s="706">
        <f>70+146.3-62+259.6</f>
        <v>413.90000000000003</v>
      </c>
    </row>
    <row r="454" spans="1:13" s="148" customFormat="1" ht="75" hidden="1">
      <c r="A454" s="140"/>
      <c r="B454" s="149" t="s">
        <v>288</v>
      </c>
      <c r="C454" s="150" t="s">
        <v>372</v>
      </c>
      <c r="D454" s="139" t="s">
        <v>304</v>
      </c>
      <c r="E454" s="139" t="s">
        <v>119</v>
      </c>
      <c r="F454" s="778" t="s">
        <v>92</v>
      </c>
      <c r="G454" s="779" t="s">
        <v>150</v>
      </c>
      <c r="H454" s="779" t="s">
        <v>90</v>
      </c>
      <c r="I454" s="780" t="s">
        <v>381</v>
      </c>
      <c r="J454" s="139"/>
      <c r="K454" s="151">
        <f>SUM(K455:K455)</f>
        <v>7.5</v>
      </c>
      <c r="L454" s="151">
        <f>SUM(L455:L455)</f>
        <v>0</v>
      </c>
      <c r="M454" s="151">
        <f>SUM(M455:M455)</f>
        <v>7.5</v>
      </c>
    </row>
    <row r="455" spans="1:13" s="148" customFormat="1" ht="56.25" hidden="1">
      <c r="A455" s="140"/>
      <c r="B455" s="149" t="s">
        <v>135</v>
      </c>
      <c r="C455" s="150" t="s">
        <v>372</v>
      </c>
      <c r="D455" s="139" t="s">
        <v>304</v>
      </c>
      <c r="E455" s="139" t="s">
        <v>119</v>
      </c>
      <c r="F455" s="778" t="s">
        <v>92</v>
      </c>
      <c r="G455" s="779" t="s">
        <v>150</v>
      </c>
      <c r="H455" s="779" t="s">
        <v>90</v>
      </c>
      <c r="I455" s="780" t="s">
        <v>381</v>
      </c>
      <c r="J455" s="139" t="s">
        <v>136</v>
      </c>
      <c r="K455" s="151">
        <v>7.5</v>
      </c>
      <c r="L455" s="151">
        <f>M455-K455</f>
        <v>0</v>
      </c>
      <c r="M455" s="151">
        <v>7.5</v>
      </c>
    </row>
    <row r="456" spans="1:13" s="148" customFormat="1" ht="18.75" hidden="1">
      <c r="A456" s="140"/>
      <c r="B456" s="149" t="s">
        <v>697</v>
      </c>
      <c r="C456" s="150" t="s">
        <v>372</v>
      </c>
      <c r="D456" s="139" t="s">
        <v>304</v>
      </c>
      <c r="E456" s="139" t="s">
        <v>119</v>
      </c>
      <c r="F456" s="778" t="s">
        <v>92</v>
      </c>
      <c r="G456" s="779" t="s">
        <v>150</v>
      </c>
      <c r="H456" s="779" t="s">
        <v>90</v>
      </c>
      <c r="I456" s="780" t="s">
        <v>696</v>
      </c>
      <c r="J456" s="139"/>
      <c r="K456" s="151">
        <f t="shared" ref="K456:M456" si="120">K457</f>
        <v>125</v>
      </c>
      <c r="L456" s="151">
        <f t="shared" si="120"/>
        <v>0</v>
      </c>
      <c r="M456" s="151">
        <f t="shared" si="120"/>
        <v>125</v>
      </c>
    </row>
    <row r="457" spans="1:13" s="148" customFormat="1" ht="106.9" hidden="1" customHeight="1">
      <c r="A457" s="140"/>
      <c r="B457" s="149" t="s">
        <v>102</v>
      </c>
      <c r="C457" s="150" t="s">
        <v>372</v>
      </c>
      <c r="D457" s="139" t="s">
        <v>304</v>
      </c>
      <c r="E457" s="139" t="s">
        <v>119</v>
      </c>
      <c r="F457" s="778" t="s">
        <v>92</v>
      </c>
      <c r="G457" s="779" t="s">
        <v>150</v>
      </c>
      <c r="H457" s="779" t="s">
        <v>90</v>
      </c>
      <c r="I457" s="780" t="s">
        <v>696</v>
      </c>
      <c r="J457" s="139" t="s">
        <v>103</v>
      </c>
      <c r="K457" s="151">
        <v>125</v>
      </c>
      <c r="L457" s="151">
        <f>M457-K457</f>
        <v>0</v>
      </c>
      <c r="M457" s="151">
        <v>125</v>
      </c>
    </row>
    <row r="458" spans="1:13" s="148" customFormat="1" ht="18.75" hidden="1">
      <c r="A458" s="140"/>
      <c r="B458" s="149" t="s">
        <v>374</v>
      </c>
      <c r="C458" s="150" t="s">
        <v>372</v>
      </c>
      <c r="D458" s="139" t="s">
        <v>304</v>
      </c>
      <c r="E458" s="139" t="s">
        <v>119</v>
      </c>
      <c r="F458" s="778" t="s">
        <v>92</v>
      </c>
      <c r="G458" s="779" t="s">
        <v>150</v>
      </c>
      <c r="H458" s="779" t="s">
        <v>90</v>
      </c>
      <c r="I458" s="780" t="s">
        <v>375</v>
      </c>
      <c r="J458" s="139"/>
      <c r="K458" s="151">
        <f>K459</f>
        <v>151.4</v>
      </c>
      <c r="L458" s="151">
        <f>L459</f>
        <v>0</v>
      </c>
      <c r="M458" s="151">
        <f>M459</f>
        <v>151.4</v>
      </c>
    </row>
    <row r="459" spans="1:13" s="148" customFormat="1" ht="107.45" hidden="1" customHeight="1">
      <c r="A459" s="140"/>
      <c r="B459" s="149" t="s">
        <v>102</v>
      </c>
      <c r="C459" s="150" t="s">
        <v>372</v>
      </c>
      <c r="D459" s="139" t="s">
        <v>304</v>
      </c>
      <c r="E459" s="139" t="s">
        <v>119</v>
      </c>
      <c r="F459" s="778" t="s">
        <v>92</v>
      </c>
      <c r="G459" s="779" t="s">
        <v>150</v>
      </c>
      <c r="H459" s="779" t="s">
        <v>90</v>
      </c>
      <c r="I459" s="780" t="s">
        <v>375</v>
      </c>
      <c r="J459" s="139" t="s">
        <v>103</v>
      </c>
      <c r="K459" s="151">
        <f>185-33.6</f>
        <v>151.4</v>
      </c>
      <c r="L459" s="151">
        <f>M459-K459</f>
        <v>0</v>
      </c>
      <c r="M459" s="151">
        <f>185-33.6</f>
        <v>151.4</v>
      </c>
    </row>
    <row r="460" spans="1:13" s="148" customFormat="1" ht="131.25" hidden="1">
      <c r="A460" s="140"/>
      <c r="B460" s="149" t="s">
        <v>503</v>
      </c>
      <c r="C460" s="150" t="s">
        <v>372</v>
      </c>
      <c r="D460" s="139" t="s">
        <v>304</v>
      </c>
      <c r="E460" s="139" t="s">
        <v>119</v>
      </c>
      <c r="F460" s="778" t="s">
        <v>92</v>
      </c>
      <c r="G460" s="779" t="s">
        <v>150</v>
      </c>
      <c r="H460" s="779" t="s">
        <v>90</v>
      </c>
      <c r="I460" s="780" t="s">
        <v>376</v>
      </c>
      <c r="J460" s="139"/>
      <c r="K460" s="151">
        <f>K461</f>
        <v>3577.2</v>
      </c>
      <c r="L460" s="151">
        <f>L461</f>
        <v>0</v>
      </c>
      <c r="M460" s="151">
        <f>M461</f>
        <v>3577.2</v>
      </c>
    </row>
    <row r="461" spans="1:13" s="148" customFormat="1" ht="56.25" hidden="1">
      <c r="A461" s="140"/>
      <c r="B461" s="149" t="s">
        <v>135</v>
      </c>
      <c r="C461" s="150" t="s">
        <v>372</v>
      </c>
      <c r="D461" s="139" t="s">
        <v>304</v>
      </c>
      <c r="E461" s="139" t="s">
        <v>119</v>
      </c>
      <c r="F461" s="778" t="s">
        <v>92</v>
      </c>
      <c r="G461" s="779" t="s">
        <v>150</v>
      </c>
      <c r="H461" s="779" t="s">
        <v>90</v>
      </c>
      <c r="I461" s="780" t="s">
        <v>376</v>
      </c>
      <c r="J461" s="139" t="s">
        <v>136</v>
      </c>
      <c r="K461" s="151">
        <v>3577.2</v>
      </c>
      <c r="L461" s="151">
        <f>M461-K461</f>
        <v>0</v>
      </c>
      <c r="M461" s="151">
        <v>3577.2</v>
      </c>
    </row>
    <row r="462" spans="1:13" s="148" customFormat="1" ht="37.5" hidden="1">
      <c r="A462" s="140"/>
      <c r="B462" s="791" t="s">
        <v>897</v>
      </c>
      <c r="C462" s="785" t="s">
        <v>372</v>
      </c>
      <c r="D462" s="786" t="s">
        <v>304</v>
      </c>
      <c r="E462" s="786" t="s">
        <v>119</v>
      </c>
      <c r="F462" s="787" t="s">
        <v>92</v>
      </c>
      <c r="G462" s="788" t="s">
        <v>150</v>
      </c>
      <c r="H462" s="788" t="s">
        <v>90</v>
      </c>
      <c r="I462" s="789" t="s">
        <v>896</v>
      </c>
      <c r="J462" s="786"/>
      <c r="K462" s="706">
        <f>K463</f>
        <v>0</v>
      </c>
      <c r="L462" s="706">
        <f>L463</f>
        <v>1</v>
      </c>
      <c r="M462" s="706">
        <f>M463</f>
        <v>1</v>
      </c>
    </row>
    <row r="463" spans="1:13" s="148" customFormat="1" ht="56.25" hidden="1">
      <c r="A463" s="140"/>
      <c r="B463" s="791" t="s">
        <v>135</v>
      </c>
      <c r="C463" s="785" t="s">
        <v>372</v>
      </c>
      <c r="D463" s="786" t="s">
        <v>304</v>
      </c>
      <c r="E463" s="786" t="s">
        <v>119</v>
      </c>
      <c r="F463" s="787" t="s">
        <v>92</v>
      </c>
      <c r="G463" s="788" t="s">
        <v>150</v>
      </c>
      <c r="H463" s="788" t="s">
        <v>90</v>
      </c>
      <c r="I463" s="789" t="s">
        <v>896</v>
      </c>
      <c r="J463" s="786" t="s">
        <v>136</v>
      </c>
      <c r="K463" s="706">
        <v>0</v>
      </c>
      <c r="L463" s="706">
        <f>M463-K463</f>
        <v>1</v>
      </c>
      <c r="M463" s="706">
        <v>1</v>
      </c>
    </row>
    <row r="464" spans="1:13" s="148" customFormat="1" ht="56.25" hidden="1">
      <c r="A464" s="140"/>
      <c r="B464" s="791" t="s">
        <v>899</v>
      </c>
      <c r="C464" s="785" t="s">
        <v>372</v>
      </c>
      <c r="D464" s="786" t="s">
        <v>304</v>
      </c>
      <c r="E464" s="786" t="s">
        <v>119</v>
      </c>
      <c r="F464" s="787" t="s">
        <v>92</v>
      </c>
      <c r="G464" s="788" t="s">
        <v>150</v>
      </c>
      <c r="H464" s="788" t="s">
        <v>90</v>
      </c>
      <c r="I464" s="789" t="s">
        <v>890</v>
      </c>
      <c r="J464" s="786"/>
      <c r="K464" s="706">
        <f>K465</f>
        <v>0</v>
      </c>
      <c r="L464" s="706">
        <f t="shared" ref="L464:L465" si="121">M464-K464</f>
        <v>100</v>
      </c>
      <c r="M464" s="706">
        <f>M465</f>
        <v>100</v>
      </c>
    </row>
    <row r="465" spans="1:14" s="148" customFormat="1" ht="56.25" hidden="1">
      <c r="A465" s="140"/>
      <c r="B465" s="791" t="s">
        <v>135</v>
      </c>
      <c r="C465" s="785" t="s">
        <v>372</v>
      </c>
      <c r="D465" s="786" t="s">
        <v>304</v>
      </c>
      <c r="E465" s="786" t="s">
        <v>119</v>
      </c>
      <c r="F465" s="787" t="s">
        <v>92</v>
      </c>
      <c r="G465" s="788" t="s">
        <v>150</v>
      </c>
      <c r="H465" s="788" t="s">
        <v>90</v>
      </c>
      <c r="I465" s="789" t="s">
        <v>890</v>
      </c>
      <c r="J465" s="786" t="s">
        <v>136</v>
      </c>
      <c r="K465" s="706">
        <v>0</v>
      </c>
      <c r="L465" s="706">
        <f t="shared" si="121"/>
        <v>100</v>
      </c>
      <c r="M465" s="706">
        <v>100</v>
      </c>
    </row>
    <row r="466" spans="1:14" s="148" customFormat="1" ht="55.15" hidden="1" customHeight="1">
      <c r="A466" s="140"/>
      <c r="B466" s="149" t="s">
        <v>844</v>
      </c>
      <c r="C466" s="150" t="s">
        <v>372</v>
      </c>
      <c r="D466" s="139" t="s">
        <v>304</v>
      </c>
      <c r="E466" s="139" t="s">
        <v>119</v>
      </c>
      <c r="F466" s="778" t="s">
        <v>92</v>
      </c>
      <c r="G466" s="779" t="s">
        <v>150</v>
      </c>
      <c r="H466" s="779" t="s">
        <v>90</v>
      </c>
      <c r="I466" s="780" t="s">
        <v>843</v>
      </c>
      <c r="J466" s="139"/>
      <c r="K466" s="151">
        <v>2064.6</v>
      </c>
      <c r="L466" s="151">
        <f t="shared" ref="L466:L467" si="122">M466-K466</f>
        <v>0</v>
      </c>
      <c r="M466" s="151">
        <v>2064.6</v>
      </c>
    </row>
    <row r="467" spans="1:14" s="148" customFormat="1" ht="51" hidden="1" customHeight="1">
      <c r="A467" s="140"/>
      <c r="B467" s="149" t="s">
        <v>108</v>
      </c>
      <c r="C467" s="150" t="s">
        <v>372</v>
      </c>
      <c r="D467" s="139" t="s">
        <v>304</v>
      </c>
      <c r="E467" s="139" t="s">
        <v>119</v>
      </c>
      <c r="F467" s="778" t="s">
        <v>92</v>
      </c>
      <c r="G467" s="779" t="s">
        <v>150</v>
      </c>
      <c r="H467" s="779" t="s">
        <v>90</v>
      </c>
      <c r="I467" s="780" t="s">
        <v>843</v>
      </c>
      <c r="J467" s="139" t="s">
        <v>109</v>
      </c>
      <c r="K467" s="151">
        <v>2064.6</v>
      </c>
      <c r="L467" s="151">
        <f t="shared" si="122"/>
        <v>0</v>
      </c>
      <c r="M467" s="151">
        <v>2064.6</v>
      </c>
    </row>
    <row r="468" spans="1:14" s="148" customFormat="1" ht="18.75" hidden="1">
      <c r="A468" s="140"/>
      <c r="B468" s="149" t="s">
        <v>518</v>
      </c>
      <c r="C468" s="150" t="s">
        <v>372</v>
      </c>
      <c r="D468" s="139" t="s">
        <v>304</v>
      </c>
      <c r="E468" s="139" t="s">
        <v>304</v>
      </c>
      <c r="F468" s="778"/>
      <c r="G468" s="779"/>
      <c r="H468" s="779"/>
      <c r="I468" s="780"/>
      <c r="J468" s="139"/>
      <c r="K468" s="151">
        <f>K469</f>
        <v>5066.1000000000004</v>
      </c>
      <c r="L468" s="151">
        <f>L469</f>
        <v>0</v>
      </c>
      <c r="M468" s="151">
        <f>M469</f>
        <v>5066.1000000000004</v>
      </c>
    </row>
    <row r="469" spans="1:14" s="148" customFormat="1" ht="56.25" hidden="1">
      <c r="A469" s="140"/>
      <c r="B469" s="149" t="s">
        <v>284</v>
      </c>
      <c r="C469" s="150" t="s">
        <v>372</v>
      </c>
      <c r="D469" s="139" t="s">
        <v>304</v>
      </c>
      <c r="E469" s="139" t="s">
        <v>304</v>
      </c>
      <c r="F469" s="778" t="s">
        <v>92</v>
      </c>
      <c r="G469" s="779" t="s">
        <v>95</v>
      </c>
      <c r="H469" s="779" t="s">
        <v>96</v>
      </c>
      <c r="I469" s="780" t="s">
        <v>97</v>
      </c>
      <c r="J469" s="139"/>
      <c r="K469" s="151">
        <f t="shared" ref="K469:M470" si="123">K470</f>
        <v>5066.1000000000004</v>
      </c>
      <c r="L469" s="151">
        <f t="shared" si="123"/>
        <v>0</v>
      </c>
      <c r="M469" s="151">
        <f t="shared" si="123"/>
        <v>5066.1000000000004</v>
      </c>
    </row>
    <row r="470" spans="1:14" s="148" customFormat="1" ht="56.25" hidden="1">
      <c r="A470" s="140"/>
      <c r="B470" s="149" t="s">
        <v>292</v>
      </c>
      <c r="C470" s="150" t="s">
        <v>372</v>
      </c>
      <c r="D470" s="139" t="s">
        <v>304</v>
      </c>
      <c r="E470" s="139" t="s">
        <v>304</v>
      </c>
      <c r="F470" s="778" t="s">
        <v>92</v>
      </c>
      <c r="G470" s="779" t="s">
        <v>83</v>
      </c>
      <c r="H470" s="779" t="s">
        <v>96</v>
      </c>
      <c r="I470" s="780" t="s">
        <v>97</v>
      </c>
      <c r="J470" s="139"/>
      <c r="K470" s="151">
        <f t="shared" si="123"/>
        <v>5066.1000000000004</v>
      </c>
      <c r="L470" s="151">
        <f t="shared" si="123"/>
        <v>0</v>
      </c>
      <c r="M470" s="151">
        <f t="shared" si="123"/>
        <v>5066.1000000000004</v>
      </c>
    </row>
    <row r="471" spans="1:14" s="148" customFormat="1" ht="37.9" hidden="1" customHeight="1">
      <c r="A471" s="140"/>
      <c r="B471" s="149" t="s">
        <v>388</v>
      </c>
      <c r="C471" s="150" t="s">
        <v>372</v>
      </c>
      <c r="D471" s="139" t="s">
        <v>304</v>
      </c>
      <c r="E471" s="139" t="s">
        <v>304</v>
      </c>
      <c r="F471" s="778" t="s">
        <v>92</v>
      </c>
      <c r="G471" s="779" t="s">
        <v>83</v>
      </c>
      <c r="H471" s="779" t="s">
        <v>92</v>
      </c>
      <c r="I471" s="780" t="s">
        <v>97</v>
      </c>
      <c r="J471" s="139"/>
      <c r="K471" s="151">
        <f>K475+K472</f>
        <v>5066.1000000000004</v>
      </c>
      <c r="L471" s="151">
        <f>L475+L472</f>
        <v>0</v>
      </c>
      <c r="M471" s="151">
        <f>M475+M472</f>
        <v>5066.1000000000004</v>
      </c>
    </row>
    <row r="472" spans="1:14" s="148" customFormat="1" ht="37.5" hidden="1">
      <c r="A472" s="140"/>
      <c r="B472" s="149" t="s">
        <v>823</v>
      </c>
      <c r="C472" s="150" t="s">
        <v>372</v>
      </c>
      <c r="D472" s="139" t="s">
        <v>304</v>
      </c>
      <c r="E472" s="139" t="s">
        <v>304</v>
      </c>
      <c r="F472" s="778" t="s">
        <v>92</v>
      </c>
      <c r="G472" s="779" t="s">
        <v>83</v>
      </c>
      <c r="H472" s="779" t="s">
        <v>92</v>
      </c>
      <c r="I472" s="780" t="s">
        <v>822</v>
      </c>
      <c r="J472" s="139"/>
      <c r="K472" s="151">
        <f>K473+K474</f>
        <v>1062.5</v>
      </c>
      <c r="L472" s="151">
        <f>L473+L474</f>
        <v>0</v>
      </c>
      <c r="M472" s="151">
        <f>M473+M474</f>
        <v>1062.5</v>
      </c>
    </row>
    <row r="473" spans="1:14" s="148" customFormat="1" ht="49.9" hidden="1" customHeight="1">
      <c r="A473" s="140"/>
      <c r="B473" s="149" t="s">
        <v>108</v>
      </c>
      <c r="C473" s="150" t="s">
        <v>372</v>
      </c>
      <c r="D473" s="139" t="s">
        <v>304</v>
      </c>
      <c r="E473" s="139" t="s">
        <v>304</v>
      </c>
      <c r="F473" s="778" t="s">
        <v>92</v>
      </c>
      <c r="G473" s="779" t="s">
        <v>83</v>
      </c>
      <c r="H473" s="779" t="s">
        <v>92</v>
      </c>
      <c r="I473" s="780" t="s">
        <v>822</v>
      </c>
      <c r="J473" s="139" t="s">
        <v>109</v>
      </c>
      <c r="K473" s="151">
        <v>652.79999999999995</v>
      </c>
      <c r="L473" s="151">
        <f t="shared" ref="L473:L474" si="124">M473-K473</f>
        <v>0</v>
      </c>
      <c r="M473" s="151">
        <v>652.79999999999995</v>
      </c>
    </row>
    <row r="474" spans="1:14" s="148" customFormat="1" ht="56.25" hidden="1">
      <c r="A474" s="140"/>
      <c r="B474" s="149" t="s">
        <v>135</v>
      </c>
      <c r="C474" s="150" t="s">
        <v>372</v>
      </c>
      <c r="D474" s="139" t="s">
        <v>304</v>
      </c>
      <c r="E474" s="139" t="s">
        <v>304</v>
      </c>
      <c r="F474" s="778" t="s">
        <v>92</v>
      </c>
      <c r="G474" s="779" t="s">
        <v>83</v>
      </c>
      <c r="H474" s="779" t="s">
        <v>92</v>
      </c>
      <c r="I474" s="780" t="s">
        <v>822</v>
      </c>
      <c r="J474" s="139" t="s">
        <v>136</v>
      </c>
      <c r="K474" s="151">
        <v>409.7</v>
      </c>
      <c r="L474" s="151">
        <f t="shared" si="124"/>
        <v>0</v>
      </c>
      <c r="M474" s="151">
        <v>409.7</v>
      </c>
    </row>
    <row r="475" spans="1:14" s="148" customFormat="1" ht="38.450000000000003" hidden="1" customHeight="1">
      <c r="A475" s="140"/>
      <c r="B475" s="149" t="s">
        <v>506</v>
      </c>
      <c r="C475" s="150" t="s">
        <v>372</v>
      </c>
      <c r="D475" s="139" t="s">
        <v>304</v>
      </c>
      <c r="E475" s="139" t="s">
        <v>304</v>
      </c>
      <c r="F475" s="778" t="s">
        <v>92</v>
      </c>
      <c r="G475" s="779" t="s">
        <v>83</v>
      </c>
      <c r="H475" s="779" t="s">
        <v>92</v>
      </c>
      <c r="I475" s="780" t="s">
        <v>640</v>
      </c>
      <c r="J475" s="139"/>
      <c r="K475" s="151">
        <f t="shared" ref="K475:M475" si="125">K476</f>
        <v>4003.6</v>
      </c>
      <c r="L475" s="151">
        <f t="shared" si="125"/>
        <v>0</v>
      </c>
      <c r="M475" s="151">
        <f t="shared" si="125"/>
        <v>4003.6</v>
      </c>
    </row>
    <row r="476" spans="1:14" s="148" customFormat="1" ht="56.25" hidden="1">
      <c r="A476" s="140"/>
      <c r="B476" s="149" t="s">
        <v>135</v>
      </c>
      <c r="C476" s="150" t="s">
        <v>372</v>
      </c>
      <c r="D476" s="139" t="s">
        <v>304</v>
      </c>
      <c r="E476" s="139" t="s">
        <v>304</v>
      </c>
      <c r="F476" s="778" t="s">
        <v>92</v>
      </c>
      <c r="G476" s="779" t="s">
        <v>83</v>
      </c>
      <c r="H476" s="779" t="s">
        <v>92</v>
      </c>
      <c r="I476" s="780" t="s">
        <v>640</v>
      </c>
      <c r="J476" s="139" t="s">
        <v>136</v>
      </c>
      <c r="K476" s="151">
        <v>4003.6</v>
      </c>
      <c r="L476" s="151">
        <f>M476-K476</f>
        <v>0</v>
      </c>
      <c r="M476" s="151">
        <v>4003.6</v>
      </c>
    </row>
    <row r="477" spans="1:14" s="148" customFormat="1" ht="18.75" hidden="1">
      <c r="A477" s="140"/>
      <c r="B477" s="149" t="s">
        <v>261</v>
      </c>
      <c r="C477" s="150" t="s">
        <v>372</v>
      </c>
      <c r="D477" s="139" t="s">
        <v>304</v>
      </c>
      <c r="E477" s="139" t="s">
        <v>139</v>
      </c>
      <c r="F477" s="778"/>
      <c r="G477" s="779"/>
      <c r="H477" s="779"/>
      <c r="I477" s="780"/>
      <c r="J477" s="139"/>
      <c r="K477" s="830">
        <f>K478</f>
        <v>43121.148310000004</v>
      </c>
      <c r="L477" s="151">
        <f>L478</f>
        <v>2549.4</v>
      </c>
      <c r="M477" s="151">
        <f>M478-0.01</f>
        <v>45670.538309999996</v>
      </c>
      <c r="N477" s="841">
        <v>-0.01</v>
      </c>
    </row>
    <row r="478" spans="1:14" s="148" customFormat="1" ht="56.25" hidden="1">
      <c r="A478" s="140"/>
      <c r="B478" s="149" t="s">
        <v>284</v>
      </c>
      <c r="C478" s="150" t="s">
        <v>372</v>
      </c>
      <c r="D478" s="139" t="s">
        <v>304</v>
      </c>
      <c r="E478" s="139" t="s">
        <v>139</v>
      </c>
      <c r="F478" s="778" t="s">
        <v>92</v>
      </c>
      <c r="G478" s="779" t="s">
        <v>95</v>
      </c>
      <c r="H478" s="779" t="s">
        <v>96</v>
      </c>
      <c r="I478" s="780" t="s">
        <v>97</v>
      </c>
      <c r="J478" s="139"/>
      <c r="K478" s="151">
        <f>K483+K480</f>
        <v>43121.148310000004</v>
      </c>
      <c r="L478" s="151">
        <f t="shared" ref="L478" si="126">L483+L480</f>
        <v>2549.4</v>
      </c>
      <c r="M478" s="151">
        <f>M483+M480</f>
        <v>45670.548309999998</v>
      </c>
    </row>
    <row r="479" spans="1:14" s="148" customFormat="1" ht="37.5" hidden="1">
      <c r="A479" s="140"/>
      <c r="B479" s="149" t="s">
        <v>290</v>
      </c>
      <c r="C479" s="150" t="s">
        <v>372</v>
      </c>
      <c r="D479" s="139" t="s">
        <v>304</v>
      </c>
      <c r="E479" s="139" t="s">
        <v>139</v>
      </c>
      <c r="F479" s="778" t="s">
        <v>92</v>
      </c>
      <c r="G479" s="779" t="s">
        <v>150</v>
      </c>
      <c r="H479" s="779" t="s">
        <v>96</v>
      </c>
      <c r="I479" s="780" t="s">
        <v>97</v>
      </c>
      <c r="J479" s="139"/>
      <c r="K479" s="151">
        <f>K480</f>
        <v>9</v>
      </c>
      <c r="L479" s="151">
        <f>L480</f>
        <v>0</v>
      </c>
      <c r="M479" s="151">
        <f>M480</f>
        <v>9</v>
      </c>
    </row>
    <row r="480" spans="1:14" s="148" customFormat="1" ht="18.75" hidden="1">
      <c r="A480" s="140"/>
      <c r="B480" s="149" t="s">
        <v>384</v>
      </c>
      <c r="C480" s="150" t="s">
        <v>372</v>
      </c>
      <c r="D480" s="139" t="s">
        <v>304</v>
      </c>
      <c r="E480" s="139" t="s">
        <v>139</v>
      </c>
      <c r="F480" s="778" t="s">
        <v>92</v>
      </c>
      <c r="G480" s="779" t="s">
        <v>150</v>
      </c>
      <c r="H480" s="779" t="s">
        <v>92</v>
      </c>
      <c r="I480" s="780" t="s">
        <v>97</v>
      </c>
      <c r="J480" s="139"/>
      <c r="K480" s="151">
        <f t="shared" ref="K480:M481" si="127">K481</f>
        <v>9</v>
      </c>
      <c r="L480" s="151">
        <f t="shared" si="127"/>
        <v>0</v>
      </c>
      <c r="M480" s="151">
        <f t="shared" si="127"/>
        <v>9</v>
      </c>
    </row>
    <row r="481" spans="1:13" s="148" customFormat="1" ht="56.25" hidden="1">
      <c r="A481" s="140"/>
      <c r="B481" s="149" t="s">
        <v>385</v>
      </c>
      <c r="C481" s="150" t="s">
        <v>372</v>
      </c>
      <c r="D481" s="139" t="s">
        <v>304</v>
      </c>
      <c r="E481" s="139" t="s">
        <v>139</v>
      </c>
      <c r="F481" s="778" t="s">
        <v>92</v>
      </c>
      <c r="G481" s="779" t="s">
        <v>150</v>
      </c>
      <c r="H481" s="779" t="s">
        <v>92</v>
      </c>
      <c r="I481" s="780" t="s">
        <v>386</v>
      </c>
      <c r="J481" s="139"/>
      <c r="K481" s="151">
        <f t="shared" si="127"/>
        <v>9</v>
      </c>
      <c r="L481" s="151">
        <f t="shared" si="127"/>
        <v>0</v>
      </c>
      <c r="M481" s="151">
        <f t="shared" si="127"/>
        <v>9</v>
      </c>
    </row>
    <row r="482" spans="1:13" s="148" customFormat="1" ht="37.5" hidden="1">
      <c r="A482" s="140"/>
      <c r="B482" s="149" t="s">
        <v>183</v>
      </c>
      <c r="C482" s="150" t="s">
        <v>372</v>
      </c>
      <c r="D482" s="139" t="s">
        <v>304</v>
      </c>
      <c r="E482" s="139" t="s">
        <v>139</v>
      </c>
      <c r="F482" s="778" t="s">
        <v>92</v>
      </c>
      <c r="G482" s="779" t="s">
        <v>150</v>
      </c>
      <c r="H482" s="779" t="s">
        <v>92</v>
      </c>
      <c r="I482" s="780" t="s">
        <v>386</v>
      </c>
      <c r="J482" s="139" t="s">
        <v>184</v>
      </c>
      <c r="K482" s="151">
        <v>9</v>
      </c>
      <c r="L482" s="151">
        <f>M482-K482</f>
        <v>0</v>
      </c>
      <c r="M482" s="151">
        <v>9</v>
      </c>
    </row>
    <row r="483" spans="1:13" s="148" customFormat="1" ht="56.25" hidden="1">
      <c r="A483" s="140"/>
      <c r="B483" s="149" t="s">
        <v>292</v>
      </c>
      <c r="C483" s="150" t="s">
        <v>372</v>
      </c>
      <c r="D483" s="139" t="s">
        <v>304</v>
      </c>
      <c r="E483" s="139" t="s">
        <v>139</v>
      </c>
      <c r="F483" s="778" t="s">
        <v>92</v>
      </c>
      <c r="G483" s="779" t="s">
        <v>83</v>
      </c>
      <c r="H483" s="779" t="s">
        <v>96</v>
      </c>
      <c r="I483" s="780" t="s">
        <v>97</v>
      </c>
      <c r="J483" s="139"/>
      <c r="K483" s="151">
        <f t="shared" ref="K483:M483" si="128">K484</f>
        <v>43112.148310000004</v>
      </c>
      <c r="L483" s="151">
        <f t="shared" si="128"/>
        <v>2549.4</v>
      </c>
      <c r="M483" s="151">
        <f t="shared" si="128"/>
        <v>45661.548309999998</v>
      </c>
    </row>
    <row r="484" spans="1:13" s="148" customFormat="1" ht="37.5" hidden="1">
      <c r="A484" s="140"/>
      <c r="B484" s="149" t="s">
        <v>389</v>
      </c>
      <c r="C484" s="150" t="s">
        <v>372</v>
      </c>
      <c r="D484" s="139" t="s">
        <v>304</v>
      </c>
      <c r="E484" s="139" t="s">
        <v>139</v>
      </c>
      <c r="F484" s="778" t="s">
        <v>92</v>
      </c>
      <c r="G484" s="779" t="s">
        <v>83</v>
      </c>
      <c r="H484" s="779" t="s">
        <v>90</v>
      </c>
      <c r="I484" s="780" t="s">
        <v>97</v>
      </c>
      <c r="J484" s="139"/>
      <c r="K484" s="151">
        <f>K485+K489+K494</f>
        <v>43112.148310000004</v>
      </c>
      <c r="L484" s="151">
        <f>L485+L489+L494</f>
        <v>2549.4</v>
      </c>
      <c r="M484" s="151">
        <f>M485+M489+M494</f>
        <v>45661.548309999998</v>
      </c>
    </row>
    <row r="485" spans="1:13" s="148" customFormat="1" ht="37.5" hidden="1">
      <c r="A485" s="140"/>
      <c r="B485" s="149" t="s">
        <v>100</v>
      </c>
      <c r="C485" s="150" t="s">
        <v>372</v>
      </c>
      <c r="D485" s="139" t="s">
        <v>304</v>
      </c>
      <c r="E485" s="139" t="s">
        <v>139</v>
      </c>
      <c r="F485" s="778" t="s">
        <v>92</v>
      </c>
      <c r="G485" s="779" t="s">
        <v>83</v>
      </c>
      <c r="H485" s="779" t="s">
        <v>90</v>
      </c>
      <c r="I485" s="780" t="s">
        <v>101</v>
      </c>
      <c r="J485" s="139"/>
      <c r="K485" s="151">
        <f t="shared" ref="K485" si="129">K486+K487+K488</f>
        <v>8562.423020000002</v>
      </c>
      <c r="L485" s="151">
        <f t="shared" ref="L485:M485" si="130">L486+L487+L488</f>
        <v>0</v>
      </c>
      <c r="M485" s="151">
        <f t="shared" si="130"/>
        <v>8562.423020000002</v>
      </c>
    </row>
    <row r="486" spans="1:13" s="148" customFormat="1" ht="96" hidden="1" customHeight="1">
      <c r="A486" s="140"/>
      <c r="B486" s="724" t="s">
        <v>102</v>
      </c>
      <c r="C486" s="150" t="s">
        <v>372</v>
      </c>
      <c r="D486" s="139" t="s">
        <v>304</v>
      </c>
      <c r="E486" s="139" t="s">
        <v>139</v>
      </c>
      <c r="F486" s="778" t="s">
        <v>92</v>
      </c>
      <c r="G486" s="779" t="s">
        <v>83</v>
      </c>
      <c r="H486" s="779" t="s">
        <v>90</v>
      </c>
      <c r="I486" s="780" t="s">
        <v>101</v>
      </c>
      <c r="J486" s="139" t="s">
        <v>103</v>
      </c>
      <c r="K486" s="151">
        <v>7867.1</v>
      </c>
      <c r="L486" s="151">
        <f t="shared" ref="L486:L488" si="131">M486-K486</f>
        <v>0</v>
      </c>
      <c r="M486" s="151">
        <v>7867.1</v>
      </c>
    </row>
    <row r="487" spans="1:13" s="148" customFormat="1" ht="54.6" hidden="1" customHeight="1">
      <c r="A487" s="140"/>
      <c r="B487" s="724" t="s">
        <v>108</v>
      </c>
      <c r="C487" s="150" t="s">
        <v>372</v>
      </c>
      <c r="D487" s="139" t="s">
        <v>304</v>
      </c>
      <c r="E487" s="139" t="s">
        <v>139</v>
      </c>
      <c r="F487" s="778" t="s">
        <v>92</v>
      </c>
      <c r="G487" s="779" t="s">
        <v>83</v>
      </c>
      <c r="H487" s="779" t="s">
        <v>90</v>
      </c>
      <c r="I487" s="780" t="s">
        <v>101</v>
      </c>
      <c r="J487" s="139" t="s">
        <v>109</v>
      </c>
      <c r="K487" s="151">
        <f>627+50+0.12302</f>
        <v>677.12302</v>
      </c>
      <c r="L487" s="151">
        <f t="shared" si="131"/>
        <v>0</v>
      </c>
      <c r="M487" s="151">
        <f>627+50+0.12302</f>
        <v>677.12302</v>
      </c>
    </row>
    <row r="488" spans="1:13" s="148" customFormat="1" ht="18.75" hidden="1">
      <c r="A488" s="140"/>
      <c r="B488" s="149" t="s">
        <v>110</v>
      </c>
      <c r="C488" s="150" t="s">
        <v>372</v>
      </c>
      <c r="D488" s="139" t="s">
        <v>304</v>
      </c>
      <c r="E488" s="139" t="s">
        <v>139</v>
      </c>
      <c r="F488" s="778" t="s">
        <v>92</v>
      </c>
      <c r="G488" s="779" t="s">
        <v>83</v>
      </c>
      <c r="H488" s="779" t="s">
        <v>90</v>
      </c>
      <c r="I488" s="780" t="s">
        <v>101</v>
      </c>
      <c r="J488" s="139" t="s">
        <v>111</v>
      </c>
      <c r="K488" s="151">
        <v>18.2</v>
      </c>
      <c r="L488" s="151">
        <f t="shared" si="131"/>
        <v>0</v>
      </c>
      <c r="M488" s="151">
        <v>18.2</v>
      </c>
    </row>
    <row r="489" spans="1:13" s="148" customFormat="1" ht="79.900000000000006" hidden="1" customHeight="1">
      <c r="A489" s="140"/>
      <c r="B489" s="724" t="s">
        <v>151</v>
      </c>
      <c r="C489" s="150" t="s">
        <v>372</v>
      </c>
      <c r="D489" s="139" t="s">
        <v>304</v>
      </c>
      <c r="E489" s="139" t="s">
        <v>139</v>
      </c>
      <c r="F489" s="778" t="s">
        <v>92</v>
      </c>
      <c r="G489" s="779" t="s">
        <v>83</v>
      </c>
      <c r="H489" s="779" t="s">
        <v>90</v>
      </c>
      <c r="I489" s="780" t="s">
        <v>153</v>
      </c>
      <c r="J489" s="139"/>
      <c r="K489" s="151">
        <f>K490+K491+K492+K493</f>
        <v>28701.525290000001</v>
      </c>
      <c r="L489" s="151">
        <f>L490+L491+L492+L493</f>
        <v>2549.4</v>
      </c>
      <c r="M489" s="151">
        <f>M490+M491+M492+M493</f>
        <v>31250.925289999999</v>
      </c>
    </row>
    <row r="490" spans="1:13" s="148" customFormat="1" ht="105.6" hidden="1" customHeight="1">
      <c r="A490" s="140"/>
      <c r="B490" s="724" t="s">
        <v>102</v>
      </c>
      <c r="C490" s="150" t="s">
        <v>372</v>
      </c>
      <c r="D490" s="139" t="s">
        <v>304</v>
      </c>
      <c r="E490" s="139" t="s">
        <v>139</v>
      </c>
      <c r="F490" s="778" t="s">
        <v>92</v>
      </c>
      <c r="G490" s="779" t="s">
        <v>83</v>
      </c>
      <c r="H490" s="779" t="s">
        <v>90</v>
      </c>
      <c r="I490" s="780" t="s">
        <v>153</v>
      </c>
      <c r="J490" s="139" t="s">
        <v>103</v>
      </c>
      <c r="K490" s="151">
        <v>24761.5</v>
      </c>
      <c r="L490" s="151">
        <f t="shared" ref="L490:L493" si="132">M490-K490</f>
        <v>0</v>
      </c>
      <c r="M490" s="151">
        <v>24761.5</v>
      </c>
    </row>
    <row r="491" spans="1:13" s="148" customFormat="1" ht="39.6" hidden="1" customHeight="1">
      <c r="A491" s="140"/>
      <c r="B491" s="724" t="s">
        <v>108</v>
      </c>
      <c r="C491" s="150" t="s">
        <v>372</v>
      </c>
      <c r="D491" s="139" t="s">
        <v>304</v>
      </c>
      <c r="E491" s="139" t="s">
        <v>139</v>
      </c>
      <c r="F491" s="778" t="s">
        <v>92</v>
      </c>
      <c r="G491" s="779" t="s">
        <v>83</v>
      </c>
      <c r="H491" s="779" t="s">
        <v>90</v>
      </c>
      <c r="I491" s="780" t="s">
        <v>153</v>
      </c>
      <c r="J491" s="139" t="s">
        <v>109</v>
      </c>
      <c r="K491" s="151">
        <f>2076.2+337+1.42529</f>
        <v>2414.6252899999999</v>
      </c>
      <c r="L491" s="151">
        <f t="shared" si="132"/>
        <v>0</v>
      </c>
      <c r="M491" s="151">
        <f>2076.2+337+1.42529</f>
        <v>2414.6252899999999</v>
      </c>
    </row>
    <row r="492" spans="1:13" s="148" customFormat="1" ht="56.25" hidden="1">
      <c r="A492" s="140"/>
      <c r="B492" s="791" t="s">
        <v>135</v>
      </c>
      <c r="C492" s="785" t="s">
        <v>372</v>
      </c>
      <c r="D492" s="786" t="s">
        <v>304</v>
      </c>
      <c r="E492" s="786" t="s">
        <v>139</v>
      </c>
      <c r="F492" s="787" t="s">
        <v>92</v>
      </c>
      <c r="G492" s="788" t="s">
        <v>83</v>
      </c>
      <c r="H492" s="788" t="s">
        <v>90</v>
      </c>
      <c r="I492" s="789" t="s">
        <v>153</v>
      </c>
      <c r="J492" s="786" t="s">
        <v>136</v>
      </c>
      <c r="K492" s="706">
        <v>1495.9</v>
      </c>
      <c r="L492" s="706">
        <f>M492-K492</f>
        <v>2549.4</v>
      </c>
      <c r="M492" s="706">
        <f>1495.9+960+1589.4</f>
        <v>4045.3</v>
      </c>
    </row>
    <row r="493" spans="1:13" s="148" customFormat="1" ht="18.75" hidden="1">
      <c r="A493" s="140"/>
      <c r="B493" s="149" t="s">
        <v>110</v>
      </c>
      <c r="C493" s="150" t="s">
        <v>372</v>
      </c>
      <c r="D493" s="139" t="s">
        <v>304</v>
      </c>
      <c r="E493" s="139" t="s">
        <v>139</v>
      </c>
      <c r="F493" s="778" t="s">
        <v>92</v>
      </c>
      <c r="G493" s="779" t="s">
        <v>83</v>
      </c>
      <c r="H493" s="779" t="s">
        <v>90</v>
      </c>
      <c r="I493" s="780" t="s">
        <v>153</v>
      </c>
      <c r="J493" s="139" t="s">
        <v>111</v>
      </c>
      <c r="K493" s="151">
        <v>29.5</v>
      </c>
      <c r="L493" s="151">
        <f t="shared" si="132"/>
        <v>0</v>
      </c>
      <c r="M493" s="151">
        <v>29.5</v>
      </c>
    </row>
    <row r="494" spans="1:13" s="148" customFormat="1" ht="131.25" hidden="1">
      <c r="A494" s="140"/>
      <c r="B494" s="149" t="s">
        <v>503</v>
      </c>
      <c r="C494" s="150" t="s">
        <v>372</v>
      </c>
      <c r="D494" s="139" t="s">
        <v>304</v>
      </c>
      <c r="E494" s="139" t="s">
        <v>139</v>
      </c>
      <c r="F494" s="778" t="s">
        <v>92</v>
      </c>
      <c r="G494" s="779" t="s">
        <v>83</v>
      </c>
      <c r="H494" s="779" t="s">
        <v>90</v>
      </c>
      <c r="I494" s="780" t="s">
        <v>376</v>
      </c>
      <c r="J494" s="139"/>
      <c r="K494" s="151">
        <f t="shared" ref="K494" si="133">K495+K496</f>
        <v>5848.2000000000007</v>
      </c>
      <c r="L494" s="151">
        <f t="shared" ref="L494:M494" si="134">L495+L496</f>
        <v>0</v>
      </c>
      <c r="M494" s="151">
        <f t="shared" si="134"/>
        <v>5848.2000000000007</v>
      </c>
    </row>
    <row r="495" spans="1:13" s="148" customFormat="1" ht="106.9" hidden="1" customHeight="1">
      <c r="A495" s="140"/>
      <c r="B495" s="149" t="s">
        <v>102</v>
      </c>
      <c r="C495" s="150" t="s">
        <v>372</v>
      </c>
      <c r="D495" s="139" t="s">
        <v>304</v>
      </c>
      <c r="E495" s="139" t="s">
        <v>139</v>
      </c>
      <c r="F495" s="778" t="s">
        <v>92</v>
      </c>
      <c r="G495" s="779" t="s">
        <v>83</v>
      </c>
      <c r="H495" s="779" t="s">
        <v>90</v>
      </c>
      <c r="I495" s="780" t="s">
        <v>376</v>
      </c>
      <c r="J495" s="139" t="s">
        <v>103</v>
      </c>
      <c r="K495" s="151">
        <v>5595.1</v>
      </c>
      <c r="L495" s="151">
        <f t="shared" ref="L495:L496" si="135">M495-K495</f>
        <v>0</v>
      </c>
      <c r="M495" s="151">
        <v>5595.1</v>
      </c>
    </row>
    <row r="496" spans="1:13" s="148" customFormat="1" ht="37.9" hidden="1" customHeight="1">
      <c r="A496" s="140"/>
      <c r="B496" s="149" t="s">
        <v>108</v>
      </c>
      <c r="C496" s="150" t="s">
        <v>372</v>
      </c>
      <c r="D496" s="139" t="s">
        <v>304</v>
      </c>
      <c r="E496" s="139" t="s">
        <v>139</v>
      </c>
      <c r="F496" s="778" t="s">
        <v>92</v>
      </c>
      <c r="G496" s="779" t="s">
        <v>83</v>
      </c>
      <c r="H496" s="779" t="s">
        <v>90</v>
      </c>
      <c r="I496" s="780" t="s">
        <v>376</v>
      </c>
      <c r="J496" s="139" t="s">
        <v>109</v>
      </c>
      <c r="K496" s="151">
        <f>60.5+107.6+85</f>
        <v>253.1</v>
      </c>
      <c r="L496" s="151">
        <f t="shared" si="135"/>
        <v>0</v>
      </c>
      <c r="M496" s="151">
        <f>60.5+107.6+85</f>
        <v>253.1</v>
      </c>
    </row>
    <row r="497" spans="1:13" s="148" customFormat="1" ht="18.75" hidden="1">
      <c r="A497" s="140"/>
      <c r="B497" s="156" t="s">
        <v>182</v>
      </c>
      <c r="C497" s="150" t="s">
        <v>372</v>
      </c>
      <c r="D497" s="139" t="s">
        <v>167</v>
      </c>
      <c r="E497" s="139"/>
      <c r="F497" s="778"/>
      <c r="G497" s="779"/>
      <c r="H497" s="779"/>
      <c r="I497" s="780"/>
      <c r="J497" s="139"/>
      <c r="K497" s="151">
        <f t="shared" ref="K497:M498" si="136">K498</f>
        <v>9069.2000000000007</v>
      </c>
      <c r="L497" s="151">
        <f t="shared" si="136"/>
        <v>0</v>
      </c>
      <c r="M497" s="151">
        <f t="shared" si="136"/>
        <v>9069.2000000000007</v>
      </c>
    </row>
    <row r="498" spans="1:13" s="148" customFormat="1" ht="18.75" hidden="1">
      <c r="A498" s="140"/>
      <c r="B498" s="156" t="s">
        <v>272</v>
      </c>
      <c r="C498" s="150" t="s">
        <v>372</v>
      </c>
      <c r="D498" s="139" t="s">
        <v>167</v>
      </c>
      <c r="E498" s="139" t="s">
        <v>105</v>
      </c>
      <c r="F498" s="778"/>
      <c r="G498" s="779"/>
      <c r="H498" s="779"/>
      <c r="I498" s="780"/>
      <c r="J498" s="139"/>
      <c r="K498" s="151">
        <f t="shared" si="136"/>
        <v>9069.2000000000007</v>
      </c>
      <c r="L498" s="151">
        <f t="shared" si="136"/>
        <v>0</v>
      </c>
      <c r="M498" s="151">
        <f t="shared" si="136"/>
        <v>9069.2000000000007</v>
      </c>
    </row>
    <row r="499" spans="1:13" s="148" customFormat="1" ht="56.25" hidden="1">
      <c r="A499" s="140"/>
      <c r="B499" s="149" t="s">
        <v>284</v>
      </c>
      <c r="C499" s="150" t="s">
        <v>372</v>
      </c>
      <c r="D499" s="139" t="s">
        <v>167</v>
      </c>
      <c r="E499" s="139" t="s">
        <v>105</v>
      </c>
      <c r="F499" s="778" t="s">
        <v>92</v>
      </c>
      <c r="G499" s="779" t="s">
        <v>95</v>
      </c>
      <c r="H499" s="779" t="s">
        <v>96</v>
      </c>
      <c r="I499" s="780" t="s">
        <v>97</v>
      </c>
      <c r="J499" s="139"/>
      <c r="K499" s="151">
        <f t="shared" ref="K499:M501" si="137">K500</f>
        <v>9069.2000000000007</v>
      </c>
      <c r="L499" s="151">
        <f t="shared" si="137"/>
        <v>0</v>
      </c>
      <c r="M499" s="151">
        <f t="shared" si="137"/>
        <v>9069.2000000000007</v>
      </c>
    </row>
    <row r="500" spans="1:13" s="148" customFormat="1" ht="37.5" hidden="1">
      <c r="A500" s="140"/>
      <c r="B500" s="149" t="s">
        <v>285</v>
      </c>
      <c r="C500" s="150" t="s">
        <v>372</v>
      </c>
      <c r="D500" s="139" t="s">
        <v>167</v>
      </c>
      <c r="E500" s="139" t="s">
        <v>105</v>
      </c>
      <c r="F500" s="778" t="s">
        <v>92</v>
      </c>
      <c r="G500" s="779" t="s">
        <v>98</v>
      </c>
      <c r="H500" s="779" t="s">
        <v>96</v>
      </c>
      <c r="I500" s="780" t="s">
        <v>97</v>
      </c>
      <c r="J500" s="139"/>
      <c r="K500" s="151">
        <f t="shared" si="137"/>
        <v>9069.2000000000007</v>
      </c>
      <c r="L500" s="151">
        <f t="shared" si="137"/>
        <v>0</v>
      </c>
      <c r="M500" s="151">
        <f t="shared" si="137"/>
        <v>9069.2000000000007</v>
      </c>
    </row>
    <row r="501" spans="1:13" s="148" customFormat="1" ht="37.5" hidden="1">
      <c r="A501" s="140"/>
      <c r="B501" s="149" t="s">
        <v>373</v>
      </c>
      <c r="C501" s="150" t="s">
        <v>372</v>
      </c>
      <c r="D501" s="139" t="s">
        <v>167</v>
      </c>
      <c r="E501" s="139" t="s">
        <v>105</v>
      </c>
      <c r="F501" s="778" t="s">
        <v>92</v>
      </c>
      <c r="G501" s="779" t="s">
        <v>98</v>
      </c>
      <c r="H501" s="779" t="s">
        <v>90</v>
      </c>
      <c r="I501" s="780" t="s">
        <v>97</v>
      </c>
      <c r="J501" s="139"/>
      <c r="K501" s="151">
        <f t="shared" si="137"/>
        <v>9069.2000000000007</v>
      </c>
      <c r="L501" s="151">
        <f t="shared" si="137"/>
        <v>0</v>
      </c>
      <c r="M501" s="151">
        <f t="shared" si="137"/>
        <v>9069.2000000000007</v>
      </c>
    </row>
    <row r="502" spans="1:13" s="148" customFormat="1" ht="131.25" hidden="1">
      <c r="A502" s="140"/>
      <c r="B502" s="149" t="s">
        <v>390</v>
      </c>
      <c r="C502" s="150" t="s">
        <v>372</v>
      </c>
      <c r="D502" s="139" t="s">
        <v>167</v>
      </c>
      <c r="E502" s="139" t="s">
        <v>105</v>
      </c>
      <c r="F502" s="778" t="s">
        <v>92</v>
      </c>
      <c r="G502" s="779" t="s">
        <v>98</v>
      </c>
      <c r="H502" s="779" t="s">
        <v>90</v>
      </c>
      <c r="I502" s="780" t="s">
        <v>391</v>
      </c>
      <c r="J502" s="139"/>
      <c r="K502" s="151">
        <f>K503+K504</f>
        <v>9069.2000000000007</v>
      </c>
      <c r="L502" s="151">
        <f>L503+L504</f>
        <v>0</v>
      </c>
      <c r="M502" s="151">
        <f>M503+M504</f>
        <v>9069.2000000000007</v>
      </c>
    </row>
    <row r="503" spans="1:13" s="148" customFormat="1" ht="54" hidden="1" customHeight="1">
      <c r="A503" s="140"/>
      <c r="B503" s="149" t="s">
        <v>108</v>
      </c>
      <c r="C503" s="150" t="s">
        <v>372</v>
      </c>
      <c r="D503" s="139" t="s">
        <v>167</v>
      </c>
      <c r="E503" s="139" t="s">
        <v>105</v>
      </c>
      <c r="F503" s="778" t="s">
        <v>92</v>
      </c>
      <c r="G503" s="779" t="s">
        <v>98</v>
      </c>
      <c r="H503" s="779" t="s">
        <v>90</v>
      </c>
      <c r="I503" s="780" t="s">
        <v>391</v>
      </c>
      <c r="J503" s="139" t="s">
        <v>109</v>
      </c>
      <c r="K503" s="151">
        <v>134</v>
      </c>
      <c r="L503" s="151">
        <f t="shared" ref="L503:L504" si="138">M503-K503</f>
        <v>0</v>
      </c>
      <c r="M503" s="151">
        <v>134</v>
      </c>
    </row>
    <row r="504" spans="1:13" s="148" customFormat="1" ht="37.5" hidden="1">
      <c r="A504" s="140"/>
      <c r="B504" s="155" t="s">
        <v>183</v>
      </c>
      <c r="C504" s="150" t="s">
        <v>372</v>
      </c>
      <c r="D504" s="139" t="s">
        <v>167</v>
      </c>
      <c r="E504" s="139" t="s">
        <v>105</v>
      </c>
      <c r="F504" s="778" t="s">
        <v>92</v>
      </c>
      <c r="G504" s="779" t="s">
        <v>98</v>
      </c>
      <c r="H504" s="779" t="s">
        <v>90</v>
      </c>
      <c r="I504" s="780" t="s">
        <v>391</v>
      </c>
      <c r="J504" s="139" t="s">
        <v>184</v>
      </c>
      <c r="K504" s="151">
        <v>8935.2000000000007</v>
      </c>
      <c r="L504" s="151">
        <f t="shared" si="138"/>
        <v>0</v>
      </c>
      <c r="M504" s="151">
        <v>8935.2000000000007</v>
      </c>
    </row>
    <row r="505" spans="1:13" ht="18.75" hidden="1">
      <c r="A505" s="140"/>
      <c r="B505" s="149"/>
      <c r="C505" s="188"/>
      <c r="D505" s="189"/>
      <c r="E505" s="189"/>
      <c r="F505" s="175"/>
      <c r="G505" s="182"/>
      <c r="H505" s="182"/>
      <c r="I505" s="190"/>
      <c r="J505" s="189"/>
      <c r="K505" s="151"/>
      <c r="L505" s="151"/>
      <c r="M505" s="151"/>
    </row>
    <row r="506" spans="1:13" s="148" customFormat="1" ht="56.25">
      <c r="A506" s="141">
        <v>6</v>
      </c>
      <c r="B506" s="191" t="s">
        <v>57</v>
      </c>
      <c r="C506" s="143" t="s">
        <v>453</v>
      </c>
      <c r="D506" s="144"/>
      <c r="E506" s="144"/>
      <c r="F506" s="145"/>
      <c r="G506" s="146"/>
      <c r="H506" s="146"/>
      <c r="I506" s="147"/>
      <c r="J506" s="144"/>
      <c r="K506" s="228">
        <f>K507+K528</f>
        <v>84927.8</v>
      </c>
      <c r="L506" s="228">
        <f>L507+L528</f>
        <v>1.9895196601282805E-12</v>
      </c>
      <c r="M506" s="228">
        <f>M507+M528</f>
        <v>84927.800000000017</v>
      </c>
    </row>
    <row r="507" spans="1:13" s="152" customFormat="1" ht="18.75">
      <c r="A507" s="140"/>
      <c r="B507" s="157" t="s">
        <v>254</v>
      </c>
      <c r="C507" s="150" t="s">
        <v>453</v>
      </c>
      <c r="D507" s="139" t="s">
        <v>304</v>
      </c>
      <c r="E507" s="139"/>
      <c r="F507" s="778"/>
      <c r="G507" s="779"/>
      <c r="H507" s="779"/>
      <c r="I507" s="780"/>
      <c r="J507" s="139"/>
      <c r="K507" s="151">
        <f>K508+K522+K516</f>
        <v>50785.000000000007</v>
      </c>
      <c r="L507" s="151">
        <f>L508+L522+L516</f>
        <v>368.40000000000146</v>
      </c>
      <c r="M507" s="151">
        <f>M508+M522+M516</f>
        <v>51153.400000000009</v>
      </c>
    </row>
    <row r="508" spans="1:13" s="153" customFormat="1" ht="18.75">
      <c r="A508" s="140"/>
      <c r="B508" s="157" t="s">
        <v>517</v>
      </c>
      <c r="C508" s="150" t="s">
        <v>453</v>
      </c>
      <c r="D508" s="139" t="s">
        <v>304</v>
      </c>
      <c r="E508" s="139" t="s">
        <v>119</v>
      </c>
      <c r="F508" s="778"/>
      <c r="G508" s="779"/>
      <c r="H508" s="779"/>
      <c r="I508" s="780"/>
      <c r="J508" s="139"/>
      <c r="K508" s="151">
        <f t="shared" ref="K508:M509" si="139">K509</f>
        <v>50335.000000000007</v>
      </c>
      <c r="L508" s="151">
        <f>L509</f>
        <v>368.40000000000146</v>
      </c>
      <c r="M508" s="151">
        <f t="shared" si="139"/>
        <v>50703.400000000009</v>
      </c>
    </row>
    <row r="509" spans="1:13" s="153" customFormat="1" ht="56.25">
      <c r="A509" s="140"/>
      <c r="B509" s="157" t="s">
        <v>293</v>
      </c>
      <c r="C509" s="150" t="s">
        <v>453</v>
      </c>
      <c r="D509" s="139" t="s">
        <v>304</v>
      </c>
      <c r="E509" s="139" t="s">
        <v>119</v>
      </c>
      <c r="F509" s="778" t="s">
        <v>119</v>
      </c>
      <c r="G509" s="779" t="s">
        <v>95</v>
      </c>
      <c r="H509" s="779" t="s">
        <v>96</v>
      </c>
      <c r="I509" s="780" t="s">
        <v>97</v>
      </c>
      <c r="J509" s="139"/>
      <c r="K509" s="151">
        <f t="shared" si="139"/>
        <v>50335.000000000007</v>
      </c>
      <c r="L509" s="151">
        <f>L510</f>
        <v>368.40000000000146</v>
      </c>
      <c r="M509" s="151">
        <f t="shared" si="139"/>
        <v>50703.400000000009</v>
      </c>
    </row>
    <row r="510" spans="1:13" s="153" customFormat="1" ht="75">
      <c r="A510" s="140"/>
      <c r="B510" s="157" t="s">
        <v>294</v>
      </c>
      <c r="C510" s="150" t="s">
        <v>453</v>
      </c>
      <c r="D510" s="139" t="s">
        <v>304</v>
      </c>
      <c r="E510" s="139" t="s">
        <v>119</v>
      </c>
      <c r="F510" s="778" t="s">
        <v>119</v>
      </c>
      <c r="G510" s="779" t="s">
        <v>98</v>
      </c>
      <c r="H510" s="779" t="s">
        <v>96</v>
      </c>
      <c r="I510" s="780" t="s">
        <v>97</v>
      </c>
      <c r="J510" s="139"/>
      <c r="K510" s="151">
        <f>K511</f>
        <v>50335.000000000007</v>
      </c>
      <c r="L510" s="151">
        <f>L511</f>
        <v>368.40000000000146</v>
      </c>
      <c r="M510" s="151">
        <f>M511</f>
        <v>50703.400000000009</v>
      </c>
    </row>
    <row r="511" spans="1:13" s="153" customFormat="1" ht="37.5">
      <c r="A511" s="140"/>
      <c r="B511" s="157" t="s">
        <v>383</v>
      </c>
      <c r="C511" s="150" t="s">
        <v>453</v>
      </c>
      <c r="D511" s="139" t="s">
        <v>304</v>
      </c>
      <c r="E511" s="139" t="s">
        <v>119</v>
      </c>
      <c r="F511" s="778" t="s">
        <v>119</v>
      </c>
      <c r="G511" s="779" t="s">
        <v>98</v>
      </c>
      <c r="H511" s="779" t="s">
        <v>90</v>
      </c>
      <c r="I511" s="780" t="s">
        <v>97</v>
      </c>
      <c r="J511" s="139"/>
      <c r="K511" s="151">
        <f>K512+K514</f>
        <v>50335.000000000007</v>
      </c>
      <c r="L511" s="151">
        <f>L512+L514</f>
        <v>368.40000000000146</v>
      </c>
      <c r="M511" s="151">
        <f>M512+M514</f>
        <v>50703.400000000009</v>
      </c>
    </row>
    <row r="512" spans="1:13" s="153" customFormat="1" ht="72.599999999999994" customHeight="1">
      <c r="A512" s="140"/>
      <c r="B512" s="154" t="s">
        <v>454</v>
      </c>
      <c r="C512" s="150" t="s">
        <v>453</v>
      </c>
      <c r="D512" s="139" t="s">
        <v>304</v>
      </c>
      <c r="E512" s="139" t="s">
        <v>119</v>
      </c>
      <c r="F512" s="778" t="s">
        <v>119</v>
      </c>
      <c r="G512" s="779" t="s">
        <v>98</v>
      </c>
      <c r="H512" s="779" t="s">
        <v>90</v>
      </c>
      <c r="I512" s="780" t="s">
        <v>153</v>
      </c>
      <c r="J512" s="139"/>
      <c r="K512" s="151">
        <f t="shared" ref="K512:M512" si="140">K513</f>
        <v>50036.500000000007</v>
      </c>
      <c r="L512" s="151">
        <f>L513</f>
        <v>368.40000000000146</v>
      </c>
      <c r="M512" s="151">
        <f t="shared" si="140"/>
        <v>50404.900000000009</v>
      </c>
    </row>
    <row r="513" spans="1:13" s="152" customFormat="1" ht="56.25">
      <c r="A513" s="140"/>
      <c r="B513" s="881" t="s">
        <v>135</v>
      </c>
      <c r="C513" s="882" t="s">
        <v>453</v>
      </c>
      <c r="D513" s="883" t="s">
        <v>304</v>
      </c>
      <c r="E513" s="883" t="s">
        <v>119</v>
      </c>
      <c r="F513" s="884" t="s">
        <v>119</v>
      </c>
      <c r="G513" s="885" t="s">
        <v>98</v>
      </c>
      <c r="H513" s="885" t="s">
        <v>90</v>
      </c>
      <c r="I513" s="886" t="s">
        <v>153</v>
      </c>
      <c r="J513" s="883" t="s">
        <v>136</v>
      </c>
      <c r="K513" s="151">
        <f>49157.4+712.3+95.9+70.9</f>
        <v>50036.500000000007</v>
      </c>
      <c r="L513" s="887">
        <f>M513-K513</f>
        <v>368.40000000000146</v>
      </c>
      <c r="M513" s="887">
        <f>49157.4+712.3+95.9+70.9+368.4</f>
        <v>50404.900000000009</v>
      </c>
    </row>
    <row r="514" spans="1:13" s="152" customFormat="1" ht="37.5">
      <c r="A514" s="140"/>
      <c r="B514" s="155" t="s">
        <v>455</v>
      </c>
      <c r="C514" s="150" t="s">
        <v>453</v>
      </c>
      <c r="D514" s="139" t="s">
        <v>304</v>
      </c>
      <c r="E514" s="139" t="s">
        <v>119</v>
      </c>
      <c r="F514" s="778" t="s">
        <v>119</v>
      </c>
      <c r="G514" s="779" t="s">
        <v>98</v>
      </c>
      <c r="H514" s="779" t="s">
        <v>90</v>
      </c>
      <c r="I514" s="780" t="s">
        <v>456</v>
      </c>
      <c r="J514" s="139"/>
      <c r="K514" s="151">
        <f t="shared" ref="K514:M514" si="141">K515</f>
        <v>298.5</v>
      </c>
      <c r="L514" s="151">
        <f>L515</f>
        <v>0</v>
      </c>
      <c r="M514" s="151">
        <f t="shared" si="141"/>
        <v>298.5</v>
      </c>
    </row>
    <row r="515" spans="1:13" s="152" customFormat="1" ht="56.25">
      <c r="A515" s="140"/>
      <c r="B515" s="896" t="s">
        <v>135</v>
      </c>
      <c r="C515" s="882" t="s">
        <v>453</v>
      </c>
      <c r="D515" s="883" t="s">
        <v>304</v>
      </c>
      <c r="E515" s="883" t="s">
        <v>119</v>
      </c>
      <c r="F515" s="884" t="s">
        <v>119</v>
      </c>
      <c r="G515" s="885" t="s">
        <v>98</v>
      </c>
      <c r="H515" s="885" t="s">
        <v>90</v>
      </c>
      <c r="I515" s="886" t="s">
        <v>456</v>
      </c>
      <c r="J515" s="883" t="s">
        <v>136</v>
      </c>
      <c r="K515" s="706">
        <f>269.4+100-70.9</f>
        <v>298.5</v>
      </c>
      <c r="L515" s="887">
        <f>M515-K515</f>
        <v>0</v>
      </c>
      <c r="M515" s="887">
        <f>269.4+100-70.9</f>
        <v>298.5</v>
      </c>
    </row>
    <row r="516" spans="1:13" s="152" customFormat="1" ht="18.75">
      <c r="A516" s="140"/>
      <c r="B516" s="149" t="s">
        <v>518</v>
      </c>
      <c r="C516" s="150" t="s">
        <v>453</v>
      </c>
      <c r="D516" s="139" t="s">
        <v>304</v>
      </c>
      <c r="E516" s="139" t="s">
        <v>304</v>
      </c>
      <c r="F516" s="778"/>
      <c r="G516" s="779"/>
      <c r="H516" s="779"/>
      <c r="I516" s="780"/>
      <c r="J516" s="139"/>
      <c r="K516" s="151">
        <f t="shared" ref="K516:M520" si="142">K517</f>
        <v>270</v>
      </c>
      <c r="L516" s="151">
        <f>L517</f>
        <v>0</v>
      </c>
      <c r="M516" s="151">
        <f t="shared" si="142"/>
        <v>270</v>
      </c>
    </row>
    <row r="517" spans="1:13" s="152" customFormat="1" ht="56.25">
      <c r="A517" s="140"/>
      <c r="B517" s="149" t="s">
        <v>293</v>
      </c>
      <c r="C517" s="150" t="s">
        <v>453</v>
      </c>
      <c r="D517" s="139" t="s">
        <v>304</v>
      </c>
      <c r="E517" s="139" t="s">
        <v>304</v>
      </c>
      <c r="F517" s="778" t="s">
        <v>119</v>
      </c>
      <c r="G517" s="779" t="s">
        <v>95</v>
      </c>
      <c r="H517" s="779" t="s">
        <v>96</v>
      </c>
      <c r="I517" s="780" t="s">
        <v>97</v>
      </c>
      <c r="J517" s="139"/>
      <c r="K517" s="151">
        <f t="shared" si="142"/>
        <v>270</v>
      </c>
      <c r="L517" s="151">
        <f>L518</f>
        <v>0</v>
      </c>
      <c r="M517" s="151">
        <f t="shared" si="142"/>
        <v>270</v>
      </c>
    </row>
    <row r="518" spans="1:13" s="152" customFormat="1" ht="75">
      <c r="A518" s="140"/>
      <c r="B518" s="149" t="s">
        <v>294</v>
      </c>
      <c r="C518" s="150" t="s">
        <v>453</v>
      </c>
      <c r="D518" s="139" t="s">
        <v>304</v>
      </c>
      <c r="E518" s="139" t="s">
        <v>304</v>
      </c>
      <c r="F518" s="778" t="s">
        <v>119</v>
      </c>
      <c r="G518" s="779" t="s">
        <v>98</v>
      </c>
      <c r="H518" s="779" t="s">
        <v>96</v>
      </c>
      <c r="I518" s="780" t="s">
        <v>97</v>
      </c>
      <c r="J518" s="139"/>
      <c r="K518" s="151">
        <f t="shared" si="142"/>
        <v>270</v>
      </c>
      <c r="L518" s="151">
        <f>L519</f>
        <v>0</v>
      </c>
      <c r="M518" s="151">
        <f t="shared" si="142"/>
        <v>270</v>
      </c>
    </row>
    <row r="519" spans="1:13" s="152" customFormat="1" ht="36" customHeight="1">
      <c r="A519" s="140"/>
      <c r="B519" s="157" t="s">
        <v>388</v>
      </c>
      <c r="C519" s="150" t="s">
        <v>453</v>
      </c>
      <c r="D519" s="139" t="s">
        <v>304</v>
      </c>
      <c r="E519" s="139" t="s">
        <v>304</v>
      </c>
      <c r="F519" s="778" t="s">
        <v>119</v>
      </c>
      <c r="G519" s="779" t="s">
        <v>98</v>
      </c>
      <c r="H519" s="779" t="s">
        <v>121</v>
      </c>
      <c r="I519" s="780" t="s">
        <v>97</v>
      </c>
      <c r="J519" s="139"/>
      <c r="K519" s="151">
        <f t="shared" si="142"/>
        <v>270</v>
      </c>
      <c r="L519" s="151">
        <f>L520</f>
        <v>0</v>
      </c>
      <c r="M519" s="151">
        <f t="shared" si="142"/>
        <v>270</v>
      </c>
    </row>
    <row r="520" spans="1:13" s="152" customFormat="1" ht="37.5">
      <c r="A520" s="140"/>
      <c r="B520" s="156" t="s">
        <v>823</v>
      </c>
      <c r="C520" s="150" t="s">
        <v>453</v>
      </c>
      <c r="D520" s="139" t="s">
        <v>304</v>
      </c>
      <c r="E520" s="139" t="s">
        <v>304</v>
      </c>
      <c r="F520" s="778" t="s">
        <v>119</v>
      </c>
      <c r="G520" s="779" t="s">
        <v>98</v>
      </c>
      <c r="H520" s="779" t="s">
        <v>121</v>
      </c>
      <c r="I520" s="780" t="s">
        <v>822</v>
      </c>
      <c r="J520" s="139"/>
      <c r="K520" s="151">
        <f t="shared" si="142"/>
        <v>270</v>
      </c>
      <c r="L520" s="151">
        <f>L521</f>
        <v>0</v>
      </c>
      <c r="M520" s="151">
        <f t="shared" si="142"/>
        <v>270</v>
      </c>
    </row>
    <row r="521" spans="1:13" s="152" customFormat="1" ht="56.25">
      <c r="A521" s="140"/>
      <c r="B521" s="155" t="s">
        <v>135</v>
      </c>
      <c r="C521" s="150" t="s">
        <v>453</v>
      </c>
      <c r="D521" s="139" t="s">
        <v>304</v>
      </c>
      <c r="E521" s="139" t="s">
        <v>304</v>
      </c>
      <c r="F521" s="778" t="s">
        <v>119</v>
      </c>
      <c r="G521" s="779" t="s">
        <v>98</v>
      </c>
      <c r="H521" s="779" t="s">
        <v>121</v>
      </c>
      <c r="I521" s="780" t="s">
        <v>822</v>
      </c>
      <c r="J521" s="139" t="s">
        <v>136</v>
      </c>
      <c r="K521" s="151">
        <v>270</v>
      </c>
      <c r="L521" s="151">
        <f>M521-K521</f>
        <v>0</v>
      </c>
      <c r="M521" s="151">
        <v>270</v>
      </c>
    </row>
    <row r="522" spans="1:13" s="152" customFormat="1" ht="18.75">
      <c r="A522" s="140"/>
      <c r="B522" s="149" t="s">
        <v>261</v>
      </c>
      <c r="C522" s="150" t="s">
        <v>453</v>
      </c>
      <c r="D522" s="139" t="s">
        <v>304</v>
      </c>
      <c r="E522" s="139" t="s">
        <v>139</v>
      </c>
      <c r="F522" s="778"/>
      <c r="G522" s="779"/>
      <c r="H522" s="779"/>
      <c r="I522" s="780"/>
      <c r="J522" s="139"/>
      <c r="K522" s="151">
        <f t="shared" ref="K522:M526" si="143">K523</f>
        <v>180</v>
      </c>
      <c r="L522" s="151">
        <f>L523</f>
        <v>0</v>
      </c>
      <c r="M522" s="151">
        <f t="shared" si="143"/>
        <v>180</v>
      </c>
    </row>
    <row r="523" spans="1:13" s="152" customFormat="1" ht="56.25">
      <c r="A523" s="140"/>
      <c r="B523" s="157" t="s">
        <v>293</v>
      </c>
      <c r="C523" s="150" t="s">
        <v>453</v>
      </c>
      <c r="D523" s="139" t="s">
        <v>304</v>
      </c>
      <c r="E523" s="139" t="s">
        <v>139</v>
      </c>
      <c r="F523" s="778" t="s">
        <v>119</v>
      </c>
      <c r="G523" s="779" t="s">
        <v>95</v>
      </c>
      <c r="H523" s="779" t="s">
        <v>96</v>
      </c>
      <c r="I523" s="780" t="s">
        <v>97</v>
      </c>
      <c r="J523" s="139"/>
      <c r="K523" s="151">
        <f t="shared" si="143"/>
        <v>180</v>
      </c>
      <c r="L523" s="151">
        <f>L524</f>
        <v>0</v>
      </c>
      <c r="M523" s="151">
        <f t="shared" si="143"/>
        <v>180</v>
      </c>
    </row>
    <row r="524" spans="1:13" s="152" customFormat="1" ht="75">
      <c r="A524" s="140"/>
      <c r="B524" s="157" t="s">
        <v>294</v>
      </c>
      <c r="C524" s="150" t="s">
        <v>453</v>
      </c>
      <c r="D524" s="139" t="s">
        <v>304</v>
      </c>
      <c r="E524" s="139" t="s">
        <v>139</v>
      </c>
      <c r="F524" s="778" t="s">
        <v>119</v>
      </c>
      <c r="G524" s="779" t="s">
        <v>98</v>
      </c>
      <c r="H524" s="779" t="s">
        <v>96</v>
      </c>
      <c r="I524" s="780" t="s">
        <v>97</v>
      </c>
      <c r="J524" s="139"/>
      <c r="K524" s="151">
        <f t="shared" si="143"/>
        <v>180</v>
      </c>
      <c r="L524" s="151">
        <f>L525</f>
        <v>0</v>
      </c>
      <c r="M524" s="151">
        <f t="shared" si="143"/>
        <v>180</v>
      </c>
    </row>
    <row r="525" spans="1:13" s="152" customFormat="1" ht="18.75">
      <c r="A525" s="140"/>
      <c r="B525" s="155" t="s">
        <v>384</v>
      </c>
      <c r="C525" s="150" t="s">
        <v>453</v>
      </c>
      <c r="D525" s="139" t="s">
        <v>304</v>
      </c>
      <c r="E525" s="139" t="s">
        <v>139</v>
      </c>
      <c r="F525" s="778" t="s">
        <v>119</v>
      </c>
      <c r="G525" s="779" t="s">
        <v>98</v>
      </c>
      <c r="H525" s="779" t="s">
        <v>92</v>
      </c>
      <c r="I525" s="780" t="s">
        <v>97</v>
      </c>
      <c r="J525" s="139"/>
      <c r="K525" s="151">
        <f t="shared" si="143"/>
        <v>180</v>
      </c>
      <c r="L525" s="151">
        <f>L526</f>
        <v>0</v>
      </c>
      <c r="M525" s="151">
        <f t="shared" si="143"/>
        <v>180</v>
      </c>
    </row>
    <row r="526" spans="1:13" s="152" customFormat="1" ht="56.25">
      <c r="A526" s="140"/>
      <c r="B526" s="155" t="s">
        <v>291</v>
      </c>
      <c r="C526" s="150" t="s">
        <v>453</v>
      </c>
      <c r="D526" s="139" t="s">
        <v>304</v>
      </c>
      <c r="E526" s="139" t="s">
        <v>139</v>
      </c>
      <c r="F526" s="778" t="s">
        <v>119</v>
      </c>
      <c r="G526" s="779" t="s">
        <v>98</v>
      </c>
      <c r="H526" s="779" t="s">
        <v>92</v>
      </c>
      <c r="I526" s="780" t="s">
        <v>386</v>
      </c>
      <c r="J526" s="139"/>
      <c r="K526" s="151">
        <f t="shared" si="143"/>
        <v>180</v>
      </c>
      <c r="L526" s="151">
        <f>L527</f>
        <v>0</v>
      </c>
      <c r="M526" s="151">
        <f t="shared" si="143"/>
        <v>180</v>
      </c>
    </row>
    <row r="527" spans="1:13" s="152" customFormat="1" ht="37.5">
      <c r="A527" s="140"/>
      <c r="B527" s="155" t="s">
        <v>183</v>
      </c>
      <c r="C527" s="150" t="s">
        <v>453</v>
      </c>
      <c r="D527" s="139" t="s">
        <v>304</v>
      </c>
      <c r="E527" s="139" t="s">
        <v>139</v>
      </c>
      <c r="F527" s="778" t="s">
        <v>119</v>
      </c>
      <c r="G527" s="779" t="s">
        <v>98</v>
      </c>
      <c r="H527" s="779" t="s">
        <v>92</v>
      </c>
      <c r="I527" s="780" t="s">
        <v>386</v>
      </c>
      <c r="J527" s="139" t="s">
        <v>184</v>
      </c>
      <c r="K527" s="151">
        <v>180</v>
      </c>
      <c r="L527" s="151">
        <f>M527-K527</f>
        <v>0</v>
      </c>
      <c r="M527" s="151">
        <v>180</v>
      </c>
    </row>
    <row r="528" spans="1:13" s="152" customFormat="1" ht="18.75">
      <c r="A528" s="140"/>
      <c r="B528" s="149" t="s">
        <v>263</v>
      </c>
      <c r="C528" s="150" t="s">
        <v>453</v>
      </c>
      <c r="D528" s="139" t="s">
        <v>306</v>
      </c>
      <c r="E528" s="139"/>
      <c r="F528" s="778"/>
      <c r="G528" s="779"/>
      <c r="H528" s="779"/>
      <c r="I528" s="780"/>
      <c r="J528" s="139"/>
      <c r="K528" s="151">
        <f>K529+K557</f>
        <v>34142.799999999996</v>
      </c>
      <c r="L528" s="151">
        <f>L529+L557</f>
        <v>-368.39999999999947</v>
      </c>
      <c r="M528" s="151">
        <f>M529+M557</f>
        <v>33774.400000000001</v>
      </c>
    </row>
    <row r="529" spans="1:13" s="152" customFormat="1" ht="18.75">
      <c r="A529" s="140"/>
      <c r="B529" s="149" t="s">
        <v>265</v>
      </c>
      <c r="C529" s="150" t="s">
        <v>453</v>
      </c>
      <c r="D529" s="139" t="s">
        <v>306</v>
      </c>
      <c r="E529" s="139" t="s">
        <v>90</v>
      </c>
      <c r="F529" s="778"/>
      <c r="G529" s="779"/>
      <c r="H529" s="779"/>
      <c r="I529" s="780"/>
      <c r="J529" s="139"/>
      <c r="K529" s="151">
        <f>K530+K552</f>
        <v>24445.599999999999</v>
      </c>
      <c r="L529" s="151">
        <f>L530+L552</f>
        <v>-488.39999999999964</v>
      </c>
      <c r="M529" s="151">
        <f>M530+M552</f>
        <v>23957.200000000001</v>
      </c>
    </row>
    <row r="530" spans="1:13" s="152" customFormat="1" ht="56.25">
      <c r="A530" s="140"/>
      <c r="B530" s="157" t="s">
        <v>293</v>
      </c>
      <c r="C530" s="150" t="s">
        <v>453</v>
      </c>
      <c r="D530" s="139" t="s">
        <v>306</v>
      </c>
      <c r="E530" s="139" t="s">
        <v>90</v>
      </c>
      <c r="F530" s="778" t="s">
        <v>119</v>
      </c>
      <c r="G530" s="779" t="s">
        <v>95</v>
      </c>
      <c r="H530" s="779" t="s">
        <v>96</v>
      </c>
      <c r="I530" s="780" t="s">
        <v>97</v>
      </c>
      <c r="J530" s="139"/>
      <c r="K530" s="151">
        <f>K531+K546</f>
        <v>24045.599999999999</v>
      </c>
      <c r="L530" s="151">
        <f>L531+L546</f>
        <v>-488.39999999999964</v>
      </c>
      <c r="M530" s="151">
        <f>M531+M546</f>
        <v>23557.200000000001</v>
      </c>
    </row>
    <row r="531" spans="1:13" s="136" customFormat="1" ht="75">
      <c r="A531" s="140"/>
      <c r="B531" s="157" t="s">
        <v>294</v>
      </c>
      <c r="C531" s="150" t="s">
        <v>453</v>
      </c>
      <c r="D531" s="139" t="s">
        <v>306</v>
      </c>
      <c r="E531" s="139" t="s">
        <v>90</v>
      </c>
      <c r="F531" s="175" t="s">
        <v>119</v>
      </c>
      <c r="G531" s="182" t="s">
        <v>98</v>
      </c>
      <c r="H531" s="182" t="s">
        <v>96</v>
      </c>
      <c r="I531" s="190" t="s">
        <v>97</v>
      </c>
      <c r="J531" s="189"/>
      <c r="K531" s="151">
        <f>K532+K541</f>
        <v>23985.599999999999</v>
      </c>
      <c r="L531" s="151">
        <f>L532+L541</f>
        <v>-488.39999999999964</v>
      </c>
      <c r="M531" s="151">
        <f>M532+M541</f>
        <v>23497.200000000001</v>
      </c>
    </row>
    <row r="532" spans="1:13" s="136" customFormat="1" ht="18.75">
      <c r="A532" s="140"/>
      <c r="B532" s="149" t="s">
        <v>457</v>
      </c>
      <c r="C532" s="150" t="s">
        <v>453</v>
      </c>
      <c r="D532" s="139" t="s">
        <v>306</v>
      </c>
      <c r="E532" s="139" t="s">
        <v>90</v>
      </c>
      <c r="F532" s="175" t="s">
        <v>119</v>
      </c>
      <c r="G532" s="182" t="s">
        <v>98</v>
      </c>
      <c r="H532" s="182" t="s">
        <v>119</v>
      </c>
      <c r="I532" s="190" t="s">
        <v>97</v>
      </c>
      <c r="J532" s="189"/>
      <c r="K532" s="151">
        <f>K533+K535+K537+K539</f>
        <v>11930.800000000001</v>
      </c>
      <c r="L532" s="151">
        <f>L533+L535+L537+L539</f>
        <v>-488.39999999999964</v>
      </c>
      <c r="M532" s="151">
        <f>M533+M535+M537+M539</f>
        <v>11442.400000000001</v>
      </c>
    </row>
    <row r="533" spans="1:13" s="136" customFormat="1" ht="72.599999999999994" customHeight="1">
      <c r="A533" s="140"/>
      <c r="B533" s="154" t="s">
        <v>458</v>
      </c>
      <c r="C533" s="150" t="s">
        <v>453</v>
      </c>
      <c r="D533" s="139" t="s">
        <v>306</v>
      </c>
      <c r="E533" s="139" t="s">
        <v>90</v>
      </c>
      <c r="F533" s="175" t="s">
        <v>119</v>
      </c>
      <c r="G533" s="182" t="s">
        <v>98</v>
      </c>
      <c r="H533" s="182" t="s">
        <v>119</v>
      </c>
      <c r="I533" s="190" t="s">
        <v>153</v>
      </c>
      <c r="J533" s="189"/>
      <c r="K533" s="151">
        <f t="shared" ref="K533:M533" si="144">K534</f>
        <v>11126.5</v>
      </c>
      <c r="L533" s="151">
        <f>L534</f>
        <v>-488.39999999999964</v>
      </c>
      <c r="M533" s="151">
        <f t="shared" si="144"/>
        <v>10638.1</v>
      </c>
    </row>
    <row r="534" spans="1:13" s="152" customFormat="1" ht="56.25">
      <c r="A534" s="140"/>
      <c r="B534" s="790" t="s">
        <v>135</v>
      </c>
      <c r="C534" s="785" t="s">
        <v>453</v>
      </c>
      <c r="D534" s="786" t="s">
        <v>306</v>
      </c>
      <c r="E534" s="786" t="s">
        <v>90</v>
      </c>
      <c r="F534" s="787" t="s">
        <v>119</v>
      </c>
      <c r="G534" s="788" t="s">
        <v>98</v>
      </c>
      <c r="H534" s="788" t="s">
        <v>119</v>
      </c>
      <c r="I534" s="789" t="s">
        <v>153</v>
      </c>
      <c r="J534" s="786" t="s">
        <v>136</v>
      </c>
      <c r="K534" s="706">
        <f>11185.9-97.6+38.2</f>
        <v>11126.5</v>
      </c>
      <c r="L534" s="706">
        <f>M534-K534</f>
        <v>-488.39999999999964</v>
      </c>
      <c r="M534" s="706">
        <f>11185.9-97.6+38.2-512.3+23.9</f>
        <v>10638.1</v>
      </c>
    </row>
    <row r="535" spans="1:13" s="136" customFormat="1" ht="37.5">
      <c r="A535" s="140"/>
      <c r="B535" s="155" t="s">
        <v>455</v>
      </c>
      <c r="C535" s="150" t="s">
        <v>453</v>
      </c>
      <c r="D535" s="139" t="s">
        <v>306</v>
      </c>
      <c r="E535" s="139" t="s">
        <v>90</v>
      </c>
      <c r="F535" s="175" t="s">
        <v>119</v>
      </c>
      <c r="G535" s="182" t="s">
        <v>98</v>
      </c>
      <c r="H535" s="182" t="s">
        <v>119</v>
      </c>
      <c r="I535" s="190" t="s">
        <v>456</v>
      </c>
      <c r="J535" s="189"/>
      <c r="K535" s="151">
        <f>K536</f>
        <v>297.45699999999999</v>
      </c>
      <c r="L535" s="151">
        <f>L536</f>
        <v>0</v>
      </c>
      <c r="M535" s="151">
        <f>M536</f>
        <v>297.45699999999999</v>
      </c>
    </row>
    <row r="536" spans="1:13" s="136" customFormat="1" ht="56.25">
      <c r="A536" s="140"/>
      <c r="B536" s="155" t="s">
        <v>135</v>
      </c>
      <c r="C536" s="150" t="s">
        <v>453</v>
      </c>
      <c r="D536" s="139" t="s">
        <v>306</v>
      </c>
      <c r="E536" s="139" t="s">
        <v>90</v>
      </c>
      <c r="F536" s="175" t="s">
        <v>119</v>
      </c>
      <c r="G536" s="182" t="s">
        <v>98</v>
      </c>
      <c r="H536" s="182" t="s">
        <v>119</v>
      </c>
      <c r="I536" s="190" t="s">
        <v>456</v>
      </c>
      <c r="J536" s="189" t="s">
        <v>136</v>
      </c>
      <c r="K536" s="151">
        <f>300.8-3.343</f>
        <v>297.45699999999999</v>
      </c>
      <c r="L536" s="151">
        <f>M536-K536</f>
        <v>0</v>
      </c>
      <c r="M536" s="151">
        <f>300.8-3.343</f>
        <v>297.45699999999999</v>
      </c>
    </row>
    <row r="537" spans="1:13" s="152" customFormat="1" ht="56.25">
      <c r="A537" s="140"/>
      <c r="B537" s="155" t="s">
        <v>295</v>
      </c>
      <c r="C537" s="150" t="s">
        <v>453</v>
      </c>
      <c r="D537" s="139" t="s">
        <v>306</v>
      </c>
      <c r="E537" s="139" t="s">
        <v>90</v>
      </c>
      <c r="F537" s="778" t="s">
        <v>119</v>
      </c>
      <c r="G537" s="779" t="s">
        <v>98</v>
      </c>
      <c r="H537" s="779" t="s">
        <v>119</v>
      </c>
      <c r="I537" s="780" t="s">
        <v>459</v>
      </c>
      <c r="J537" s="139"/>
      <c r="K537" s="151">
        <f>K538</f>
        <v>440</v>
      </c>
      <c r="L537" s="151">
        <f>L538</f>
        <v>0</v>
      </c>
      <c r="M537" s="151">
        <f>M538</f>
        <v>440</v>
      </c>
    </row>
    <row r="538" spans="1:13" s="136" customFormat="1" ht="56.25">
      <c r="A538" s="140"/>
      <c r="B538" s="155" t="s">
        <v>135</v>
      </c>
      <c r="C538" s="150" t="s">
        <v>453</v>
      </c>
      <c r="D538" s="139" t="s">
        <v>306</v>
      </c>
      <c r="E538" s="139" t="s">
        <v>90</v>
      </c>
      <c r="F538" s="778" t="s">
        <v>119</v>
      </c>
      <c r="G538" s="779" t="s">
        <v>98</v>
      </c>
      <c r="H538" s="779" t="s">
        <v>119</v>
      </c>
      <c r="I538" s="780" t="s">
        <v>459</v>
      </c>
      <c r="J538" s="139" t="s">
        <v>136</v>
      </c>
      <c r="K538" s="151">
        <f>415+25</f>
        <v>440</v>
      </c>
      <c r="L538" s="151">
        <f>M538-K538</f>
        <v>0</v>
      </c>
      <c r="M538" s="151">
        <f>415+25</f>
        <v>440</v>
      </c>
    </row>
    <row r="539" spans="1:13" s="136" customFormat="1" ht="18.75">
      <c r="A539" s="140"/>
      <c r="B539" s="155" t="s">
        <v>826</v>
      </c>
      <c r="C539" s="150" t="s">
        <v>453</v>
      </c>
      <c r="D539" s="139" t="s">
        <v>306</v>
      </c>
      <c r="E539" s="139" t="s">
        <v>90</v>
      </c>
      <c r="F539" s="778" t="s">
        <v>119</v>
      </c>
      <c r="G539" s="779" t="s">
        <v>98</v>
      </c>
      <c r="H539" s="779" t="s">
        <v>119</v>
      </c>
      <c r="I539" s="780" t="s">
        <v>824</v>
      </c>
      <c r="J539" s="139"/>
      <c r="K539" s="151">
        <f>K540</f>
        <v>66.843000000000004</v>
      </c>
      <c r="L539" s="151">
        <f>L540</f>
        <v>0</v>
      </c>
      <c r="M539" s="151">
        <f>M540</f>
        <v>66.843000000000004</v>
      </c>
    </row>
    <row r="540" spans="1:13" s="136" customFormat="1" ht="56.25">
      <c r="A540" s="140"/>
      <c r="B540" s="155" t="s">
        <v>135</v>
      </c>
      <c r="C540" s="150" t="s">
        <v>453</v>
      </c>
      <c r="D540" s="139" t="s">
        <v>306</v>
      </c>
      <c r="E540" s="139" t="s">
        <v>90</v>
      </c>
      <c r="F540" s="778" t="s">
        <v>119</v>
      </c>
      <c r="G540" s="779" t="s">
        <v>98</v>
      </c>
      <c r="H540" s="779" t="s">
        <v>119</v>
      </c>
      <c r="I540" s="780" t="s">
        <v>824</v>
      </c>
      <c r="J540" s="139" t="s">
        <v>136</v>
      </c>
      <c r="K540" s="151">
        <v>66.843000000000004</v>
      </c>
      <c r="L540" s="151">
        <f>M540-K540</f>
        <v>0</v>
      </c>
      <c r="M540" s="151">
        <v>66.843000000000004</v>
      </c>
    </row>
    <row r="541" spans="1:13" s="136" customFormat="1" ht="37.5">
      <c r="A541" s="140"/>
      <c r="B541" s="155" t="s">
        <v>460</v>
      </c>
      <c r="C541" s="150" t="s">
        <v>453</v>
      </c>
      <c r="D541" s="139" t="s">
        <v>306</v>
      </c>
      <c r="E541" s="139" t="s">
        <v>90</v>
      </c>
      <c r="F541" s="175" t="s">
        <v>119</v>
      </c>
      <c r="G541" s="182" t="s">
        <v>98</v>
      </c>
      <c r="H541" s="182" t="s">
        <v>105</v>
      </c>
      <c r="I541" s="780" t="s">
        <v>97</v>
      </c>
      <c r="J541" s="139"/>
      <c r="K541" s="151">
        <f>K542</f>
        <v>12054.8</v>
      </c>
      <c r="L541" s="151">
        <f>L542</f>
        <v>0</v>
      </c>
      <c r="M541" s="151">
        <f>M542</f>
        <v>12054.8</v>
      </c>
    </row>
    <row r="542" spans="1:13" s="136" customFormat="1" ht="72" customHeight="1">
      <c r="A542" s="140"/>
      <c r="B542" s="154" t="s">
        <v>458</v>
      </c>
      <c r="C542" s="150" t="s">
        <v>453</v>
      </c>
      <c r="D542" s="139" t="s">
        <v>306</v>
      </c>
      <c r="E542" s="139" t="s">
        <v>90</v>
      </c>
      <c r="F542" s="175" t="s">
        <v>119</v>
      </c>
      <c r="G542" s="182" t="s">
        <v>98</v>
      </c>
      <c r="H542" s="182" t="s">
        <v>105</v>
      </c>
      <c r="I542" s="190" t="s">
        <v>153</v>
      </c>
      <c r="J542" s="189"/>
      <c r="K542" s="151">
        <f t="shared" ref="K542" si="145">SUM(K543:K545)</f>
        <v>12054.8</v>
      </c>
      <c r="L542" s="151">
        <f>SUM(L543:L545)</f>
        <v>0</v>
      </c>
      <c r="M542" s="151">
        <f t="shared" ref="M542" si="146">SUM(M543:M545)</f>
        <v>12054.8</v>
      </c>
    </row>
    <row r="543" spans="1:13" s="152" customFormat="1" ht="94.15" customHeight="1">
      <c r="A543" s="140"/>
      <c r="B543" s="149" t="s">
        <v>102</v>
      </c>
      <c r="C543" s="150" t="s">
        <v>453</v>
      </c>
      <c r="D543" s="139" t="s">
        <v>306</v>
      </c>
      <c r="E543" s="139" t="s">
        <v>90</v>
      </c>
      <c r="F543" s="778" t="s">
        <v>119</v>
      </c>
      <c r="G543" s="779" t="s">
        <v>98</v>
      </c>
      <c r="H543" s="779" t="s">
        <v>105</v>
      </c>
      <c r="I543" s="780" t="s">
        <v>153</v>
      </c>
      <c r="J543" s="139" t="s">
        <v>103</v>
      </c>
      <c r="K543" s="151">
        <f>11254.8-85</f>
        <v>11169.8</v>
      </c>
      <c r="L543" s="151">
        <f>M543-K543</f>
        <v>0</v>
      </c>
      <c r="M543" s="151">
        <f>11254.8-85</f>
        <v>11169.8</v>
      </c>
    </row>
    <row r="544" spans="1:13" s="152" customFormat="1" ht="54" customHeight="1">
      <c r="A544" s="140"/>
      <c r="B544" s="149" t="s">
        <v>108</v>
      </c>
      <c r="C544" s="150" t="s">
        <v>453</v>
      </c>
      <c r="D544" s="139" t="s">
        <v>306</v>
      </c>
      <c r="E544" s="139" t="s">
        <v>90</v>
      </c>
      <c r="F544" s="778" t="s">
        <v>119</v>
      </c>
      <c r="G544" s="779" t="s">
        <v>98</v>
      </c>
      <c r="H544" s="779" t="s">
        <v>105</v>
      </c>
      <c r="I544" s="780" t="s">
        <v>153</v>
      </c>
      <c r="J544" s="139" t="s">
        <v>109</v>
      </c>
      <c r="K544" s="151">
        <v>863.6</v>
      </c>
      <c r="L544" s="151">
        <f>M544-K544</f>
        <v>0</v>
      </c>
      <c r="M544" s="151">
        <v>863.6</v>
      </c>
    </row>
    <row r="545" spans="1:13" s="152" customFormat="1" ht="18.75">
      <c r="A545" s="140"/>
      <c r="B545" s="149" t="s">
        <v>110</v>
      </c>
      <c r="C545" s="150" t="s">
        <v>453</v>
      </c>
      <c r="D545" s="139" t="s">
        <v>306</v>
      </c>
      <c r="E545" s="139" t="s">
        <v>90</v>
      </c>
      <c r="F545" s="778" t="s">
        <v>119</v>
      </c>
      <c r="G545" s="779" t="s">
        <v>98</v>
      </c>
      <c r="H545" s="779" t="s">
        <v>105</v>
      </c>
      <c r="I545" s="780" t="s">
        <v>153</v>
      </c>
      <c r="J545" s="139" t="s">
        <v>111</v>
      </c>
      <c r="K545" s="151">
        <v>21.4</v>
      </c>
      <c r="L545" s="151">
        <f>M545-K545</f>
        <v>0</v>
      </c>
      <c r="M545" s="151">
        <v>21.4</v>
      </c>
    </row>
    <row r="546" spans="1:13" s="136" customFormat="1" ht="38.450000000000003" customHeight="1">
      <c r="A546" s="140"/>
      <c r="B546" s="149" t="s">
        <v>469</v>
      </c>
      <c r="C546" s="150" t="s">
        <v>453</v>
      </c>
      <c r="D546" s="139" t="s">
        <v>306</v>
      </c>
      <c r="E546" s="139" t="s">
        <v>90</v>
      </c>
      <c r="F546" s="175" t="s">
        <v>119</v>
      </c>
      <c r="G546" s="182" t="s">
        <v>150</v>
      </c>
      <c r="H546" s="182" t="s">
        <v>96</v>
      </c>
      <c r="I546" s="780" t="s">
        <v>97</v>
      </c>
      <c r="J546" s="139"/>
      <c r="K546" s="151">
        <f>K547</f>
        <v>60</v>
      </c>
      <c r="L546" s="151">
        <f>L547</f>
        <v>0</v>
      </c>
      <c r="M546" s="151">
        <f>M547</f>
        <v>60</v>
      </c>
    </row>
    <row r="547" spans="1:13" s="136" customFormat="1" ht="112.5">
      <c r="A547" s="140"/>
      <c r="B547" s="155" t="s">
        <v>461</v>
      </c>
      <c r="C547" s="150" t="s">
        <v>453</v>
      </c>
      <c r="D547" s="139" t="s">
        <v>306</v>
      </c>
      <c r="E547" s="139" t="s">
        <v>90</v>
      </c>
      <c r="F547" s="175" t="s">
        <v>119</v>
      </c>
      <c r="G547" s="182" t="s">
        <v>150</v>
      </c>
      <c r="H547" s="182" t="s">
        <v>119</v>
      </c>
      <c r="I547" s="780" t="s">
        <v>97</v>
      </c>
      <c r="J547" s="139"/>
      <c r="K547" s="151">
        <f>K548+K550</f>
        <v>60</v>
      </c>
      <c r="L547" s="151">
        <f>L548+L550</f>
        <v>0</v>
      </c>
      <c r="M547" s="151">
        <f>M548+M550</f>
        <v>60</v>
      </c>
    </row>
    <row r="548" spans="1:13" s="136" customFormat="1" ht="37.5">
      <c r="A548" s="140"/>
      <c r="B548" s="155" t="s">
        <v>455</v>
      </c>
      <c r="C548" s="150" t="s">
        <v>453</v>
      </c>
      <c r="D548" s="139" t="s">
        <v>306</v>
      </c>
      <c r="E548" s="139" t="s">
        <v>90</v>
      </c>
      <c r="F548" s="175" t="s">
        <v>119</v>
      </c>
      <c r="G548" s="182" t="s">
        <v>150</v>
      </c>
      <c r="H548" s="182" t="s">
        <v>119</v>
      </c>
      <c r="I548" s="190" t="s">
        <v>456</v>
      </c>
      <c r="J548" s="189"/>
      <c r="K548" s="151">
        <f>SUM(K549:K549)</f>
        <v>17.893999999999998</v>
      </c>
      <c r="L548" s="151">
        <f>SUM(L549:L549)</f>
        <v>0</v>
      </c>
      <c r="M548" s="151">
        <f>SUM(M549:M549)</f>
        <v>17.893999999999998</v>
      </c>
    </row>
    <row r="549" spans="1:13" s="152" customFormat="1" ht="56.25">
      <c r="A549" s="140"/>
      <c r="B549" s="155" t="s">
        <v>135</v>
      </c>
      <c r="C549" s="150" t="s">
        <v>453</v>
      </c>
      <c r="D549" s="139" t="s">
        <v>306</v>
      </c>
      <c r="E549" s="139" t="s">
        <v>90</v>
      </c>
      <c r="F549" s="778" t="s">
        <v>119</v>
      </c>
      <c r="G549" s="779" t="s">
        <v>150</v>
      </c>
      <c r="H549" s="779" t="s">
        <v>119</v>
      </c>
      <c r="I549" s="780" t="s">
        <v>456</v>
      </c>
      <c r="J549" s="139" t="s">
        <v>136</v>
      </c>
      <c r="K549" s="151">
        <f>20-2.106</f>
        <v>17.893999999999998</v>
      </c>
      <c r="L549" s="151">
        <f>M549-K549</f>
        <v>0</v>
      </c>
      <c r="M549" s="151">
        <f>20-2.106</f>
        <v>17.893999999999998</v>
      </c>
    </row>
    <row r="550" spans="1:13" s="152" customFormat="1" ht="56.25">
      <c r="A550" s="140"/>
      <c r="B550" s="155" t="s">
        <v>864</v>
      </c>
      <c r="C550" s="150" t="s">
        <v>453</v>
      </c>
      <c r="D550" s="139" t="s">
        <v>306</v>
      </c>
      <c r="E550" s="139" t="s">
        <v>90</v>
      </c>
      <c r="F550" s="778" t="s">
        <v>119</v>
      </c>
      <c r="G550" s="779" t="s">
        <v>150</v>
      </c>
      <c r="H550" s="779" t="s">
        <v>119</v>
      </c>
      <c r="I550" s="780" t="s">
        <v>865</v>
      </c>
      <c r="J550" s="139"/>
      <c r="K550" s="151">
        <f>K551</f>
        <v>42.106000000000002</v>
      </c>
      <c r="L550" s="151">
        <f t="shared" ref="L550:L551" si="147">M550-K550</f>
        <v>0</v>
      </c>
      <c r="M550" s="151">
        <f>M551</f>
        <v>42.106000000000002</v>
      </c>
    </row>
    <row r="551" spans="1:13" s="152" customFormat="1" ht="56.25">
      <c r="A551" s="140"/>
      <c r="B551" s="155" t="s">
        <v>135</v>
      </c>
      <c r="C551" s="150" t="s">
        <v>453</v>
      </c>
      <c r="D551" s="139" t="s">
        <v>306</v>
      </c>
      <c r="E551" s="139" t="s">
        <v>90</v>
      </c>
      <c r="F551" s="778" t="s">
        <v>119</v>
      </c>
      <c r="G551" s="779" t="s">
        <v>150</v>
      </c>
      <c r="H551" s="779" t="s">
        <v>119</v>
      </c>
      <c r="I551" s="780" t="s">
        <v>865</v>
      </c>
      <c r="J551" s="139" t="s">
        <v>136</v>
      </c>
      <c r="K551" s="151">
        <f>40+2.106</f>
        <v>42.106000000000002</v>
      </c>
      <c r="L551" s="151">
        <f t="shared" si="147"/>
        <v>0</v>
      </c>
      <c r="M551" s="151">
        <f>40+2.106</f>
        <v>42.106000000000002</v>
      </c>
    </row>
    <row r="552" spans="1:13" s="153" customFormat="1" ht="59.45" customHeight="1">
      <c r="A552" s="140"/>
      <c r="B552" s="724" t="s">
        <v>179</v>
      </c>
      <c r="C552" s="150" t="s">
        <v>453</v>
      </c>
      <c r="D552" s="139" t="s">
        <v>306</v>
      </c>
      <c r="E552" s="139" t="s">
        <v>90</v>
      </c>
      <c r="F552" s="778" t="s">
        <v>149</v>
      </c>
      <c r="G552" s="779" t="s">
        <v>95</v>
      </c>
      <c r="H552" s="779" t="s">
        <v>96</v>
      </c>
      <c r="I552" s="780" t="s">
        <v>97</v>
      </c>
      <c r="J552" s="139"/>
      <c r="K552" s="151">
        <f t="shared" ref="K552:M555" si="148">K553</f>
        <v>400</v>
      </c>
      <c r="L552" s="151">
        <f t="shared" si="148"/>
        <v>0</v>
      </c>
      <c r="M552" s="151">
        <f t="shared" si="148"/>
        <v>400</v>
      </c>
    </row>
    <row r="553" spans="1:13" s="153" customFormat="1" ht="37.5">
      <c r="A553" s="140"/>
      <c r="B553" s="149" t="s">
        <v>491</v>
      </c>
      <c r="C553" s="150" t="s">
        <v>453</v>
      </c>
      <c r="D553" s="139" t="s">
        <v>306</v>
      </c>
      <c r="E553" s="139" t="s">
        <v>90</v>
      </c>
      <c r="F553" s="778" t="s">
        <v>149</v>
      </c>
      <c r="G553" s="779" t="s">
        <v>98</v>
      </c>
      <c r="H553" s="779" t="s">
        <v>96</v>
      </c>
      <c r="I553" s="780" t="s">
        <v>97</v>
      </c>
      <c r="J553" s="139"/>
      <c r="K553" s="151">
        <f t="shared" si="148"/>
        <v>400</v>
      </c>
      <c r="L553" s="151">
        <f t="shared" si="148"/>
        <v>0</v>
      </c>
      <c r="M553" s="151">
        <f t="shared" si="148"/>
        <v>400</v>
      </c>
    </row>
    <row r="554" spans="1:13" s="136" customFormat="1" ht="75">
      <c r="A554" s="140"/>
      <c r="B554" s="156" t="s">
        <v>431</v>
      </c>
      <c r="C554" s="150" t="s">
        <v>453</v>
      </c>
      <c r="D554" s="139" t="s">
        <v>306</v>
      </c>
      <c r="E554" s="139" t="s">
        <v>90</v>
      </c>
      <c r="F554" s="778" t="s">
        <v>149</v>
      </c>
      <c r="G554" s="779" t="s">
        <v>98</v>
      </c>
      <c r="H554" s="779" t="s">
        <v>90</v>
      </c>
      <c r="I554" s="780" t="s">
        <v>97</v>
      </c>
      <c r="J554" s="139"/>
      <c r="K554" s="151">
        <f>K555</f>
        <v>400</v>
      </c>
      <c r="L554" s="151">
        <f>L555</f>
        <v>0</v>
      </c>
      <c r="M554" s="151">
        <f>M555</f>
        <v>400</v>
      </c>
    </row>
    <row r="555" spans="1:13" s="153" customFormat="1" ht="56.25">
      <c r="A555" s="140"/>
      <c r="B555" s="156" t="s">
        <v>180</v>
      </c>
      <c r="C555" s="150" t="s">
        <v>453</v>
      </c>
      <c r="D555" s="139" t="s">
        <v>306</v>
      </c>
      <c r="E555" s="139" t="s">
        <v>90</v>
      </c>
      <c r="F555" s="778" t="s">
        <v>149</v>
      </c>
      <c r="G555" s="779" t="s">
        <v>98</v>
      </c>
      <c r="H555" s="779" t="s">
        <v>90</v>
      </c>
      <c r="I555" s="780" t="s">
        <v>181</v>
      </c>
      <c r="J555" s="139"/>
      <c r="K555" s="151">
        <f t="shared" si="148"/>
        <v>400</v>
      </c>
      <c r="L555" s="151">
        <f t="shared" si="148"/>
        <v>0</v>
      </c>
      <c r="M555" s="151">
        <f t="shared" si="148"/>
        <v>400</v>
      </c>
    </row>
    <row r="556" spans="1:13" s="136" customFormat="1" ht="40.15" customHeight="1">
      <c r="A556" s="140"/>
      <c r="B556" s="724" t="s">
        <v>108</v>
      </c>
      <c r="C556" s="150" t="s">
        <v>453</v>
      </c>
      <c r="D556" s="139" t="s">
        <v>306</v>
      </c>
      <c r="E556" s="139" t="s">
        <v>90</v>
      </c>
      <c r="F556" s="778" t="s">
        <v>149</v>
      </c>
      <c r="G556" s="779" t="s">
        <v>98</v>
      </c>
      <c r="H556" s="779" t="s">
        <v>90</v>
      </c>
      <c r="I556" s="780" t="s">
        <v>181</v>
      </c>
      <c r="J556" s="139" t="s">
        <v>109</v>
      </c>
      <c r="K556" s="151">
        <f>400</f>
        <v>400</v>
      </c>
      <c r="L556" s="151">
        <f>M556-K556</f>
        <v>0</v>
      </c>
      <c r="M556" s="151">
        <f>400</f>
        <v>400</v>
      </c>
    </row>
    <row r="557" spans="1:13" s="136" customFormat="1" ht="37.5">
      <c r="A557" s="140"/>
      <c r="B557" s="149" t="s">
        <v>462</v>
      </c>
      <c r="C557" s="150" t="s">
        <v>453</v>
      </c>
      <c r="D557" s="139" t="s">
        <v>306</v>
      </c>
      <c r="E557" s="139" t="s">
        <v>105</v>
      </c>
      <c r="F557" s="175"/>
      <c r="G557" s="182"/>
      <c r="H557" s="182"/>
      <c r="I557" s="190"/>
      <c r="J557" s="189"/>
      <c r="K557" s="151">
        <f t="shared" ref="K557:M557" si="149">K558</f>
        <v>9697.1999999999989</v>
      </c>
      <c r="L557" s="151">
        <f>L558</f>
        <v>120.00000000000017</v>
      </c>
      <c r="M557" s="151">
        <f t="shared" si="149"/>
        <v>9817.1999999999989</v>
      </c>
    </row>
    <row r="558" spans="1:13" s="136" customFormat="1" ht="56.25">
      <c r="A558" s="140"/>
      <c r="B558" s="157" t="s">
        <v>293</v>
      </c>
      <c r="C558" s="150" t="s">
        <v>453</v>
      </c>
      <c r="D558" s="139" t="s">
        <v>306</v>
      </c>
      <c r="E558" s="139" t="s">
        <v>105</v>
      </c>
      <c r="F558" s="175" t="s">
        <v>119</v>
      </c>
      <c r="G558" s="182" t="s">
        <v>95</v>
      </c>
      <c r="H558" s="182" t="s">
        <v>96</v>
      </c>
      <c r="I558" s="190" t="s">
        <v>97</v>
      </c>
      <c r="J558" s="189"/>
      <c r="K558" s="151">
        <f>K563+K559</f>
        <v>9697.1999999999989</v>
      </c>
      <c r="L558" s="151">
        <f>L563+L559</f>
        <v>120.00000000000017</v>
      </c>
      <c r="M558" s="151">
        <f>M563+M559</f>
        <v>9817.1999999999989</v>
      </c>
    </row>
    <row r="559" spans="1:13" s="152" customFormat="1" ht="36" customHeight="1">
      <c r="A559" s="140"/>
      <c r="B559" s="149" t="s">
        <v>469</v>
      </c>
      <c r="C559" s="150" t="s">
        <v>453</v>
      </c>
      <c r="D559" s="139" t="s">
        <v>306</v>
      </c>
      <c r="E559" s="139" t="s">
        <v>105</v>
      </c>
      <c r="F559" s="778" t="s">
        <v>119</v>
      </c>
      <c r="G559" s="779" t="s">
        <v>150</v>
      </c>
      <c r="H559" s="779" t="s">
        <v>96</v>
      </c>
      <c r="I559" s="780" t="s">
        <v>97</v>
      </c>
      <c r="J559" s="139"/>
      <c r="K559" s="151">
        <f>K560</f>
        <v>960.8</v>
      </c>
      <c r="L559" s="151">
        <f>L560</f>
        <v>0</v>
      </c>
      <c r="M559" s="151">
        <f>M560</f>
        <v>960.8</v>
      </c>
    </row>
    <row r="560" spans="1:13" s="152" customFormat="1" ht="112.5">
      <c r="A560" s="140"/>
      <c r="B560" s="155" t="s">
        <v>461</v>
      </c>
      <c r="C560" s="150" t="s">
        <v>453</v>
      </c>
      <c r="D560" s="139" t="s">
        <v>306</v>
      </c>
      <c r="E560" s="139" t="s">
        <v>105</v>
      </c>
      <c r="F560" s="778" t="s">
        <v>119</v>
      </c>
      <c r="G560" s="779" t="s">
        <v>150</v>
      </c>
      <c r="H560" s="779" t="s">
        <v>119</v>
      </c>
      <c r="I560" s="780" t="s">
        <v>97</v>
      </c>
      <c r="J560" s="139"/>
      <c r="K560" s="151">
        <f t="shared" ref="K560:M561" si="150">K561</f>
        <v>960.8</v>
      </c>
      <c r="L560" s="151">
        <f>L561</f>
        <v>0</v>
      </c>
      <c r="M560" s="151">
        <f t="shared" si="150"/>
        <v>960.8</v>
      </c>
    </row>
    <row r="561" spans="1:13" s="152" customFormat="1" ht="37.5">
      <c r="A561" s="140"/>
      <c r="B561" s="155" t="s">
        <v>455</v>
      </c>
      <c r="C561" s="150" t="s">
        <v>453</v>
      </c>
      <c r="D561" s="139" t="s">
        <v>306</v>
      </c>
      <c r="E561" s="139" t="s">
        <v>105</v>
      </c>
      <c r="F561" s="778" t="s">
        <v>119</v>
      </c>
      <c r="G561" s="779" t="s">
        <v>150</v>
      </c>
      <c r="H561" s="779" t="s">
        <v>119</v>
      </c>
      <c r="I561" s="780" t="s">
        <v>456</v>
      </c>
      <c r="J561" s="139"/>
      <c r="K561" s="151">
        <f t="shared" si="150"/>
        <v>960.8</v>
      </c>
      <c r="L561" s="151">
        <f>L562</f>
        <v>0</v>
      </c>
      <c r="M561" s="151">
        <f t="shared" si="150"/>
        <v>960.8</v>
      </c>
    </row>
    <row r="562" spans="1:13" s="152" customFormat="1" ht="50.45" customHeight="1">
      <c r="A562" s="140"/>
      <c r="B562" s="149" t="s">
        <v>108</v>
      </c>
      <c r="C562" s="150" t="s">
        <v>453</v>
      </c>
      <c r="D562" s="139" t="s">
        <v>306</v>
      </c>
      <c r="E562" s="139" t="s">
        <v>105</v>
      </c>
      <c r="F562" s="778" t="s">
        <v>119</v>
      </c>
      <c r="G562" s="779" t="s">
        <v>150</v>
      </c>
      <c r="H562" s="779" t="s">
        <v>119</v>
      </c>
      <c r="I562" s="780" t="s">
        <v>456</v>
      </c>
      <c r="J562" s="139" t="s">
        <v>109</v>
      </c>
      <c r="K562" s="151">
        <f>542.8+220+99+99</f>
        <v>960.8</v>
      </c>
      <c r="L562" s="151">
        <f>M562-K562</f>
        <v>0</v>
      </c>
      <c r="M562" s="151">
        <f>542.8+220+99+99</f>
        <v>960.8</v>
      </c>
    </row>
    <row r="563" spans="1:13" s="152" customFormat="1" ht="56.25">
      <c r="A563" s="140"/>
      <c r="B563" s="149" t="s">
        <v>296</v>
      </c>
      <c r="C563" s="150" t="s">
        <v>453</v>
      </c>
      <c r="D563" s="139" t="s">
        <v>306</v>
      </c>
      <c r="E563" s="139" t="s">
        <v>105</v>
      </c>
      <c r="F563" s="778" t="s">
        <v>119</v>
      </c>
      <c r="G563" s="779" t="s">
        <v>83</v>
      </c>
      <c r="H563" s="779" t="s">
        <v>96</v>
      </c>
      <c r="I563" s="780" t="s">
        <v>97</v>
      </c>
      <c r="J563" s="139"/>
      <c r="K563" s="151">
        <f t="shared" ref="K563:M563" si="151">K564</f>
        <v>8736.4</v>
      </c>
      <c r="L563" s="151">
        <f>L564</f>
        <v>120.00000000000017</v>
      </c>
      <c r="M563" s="151">
        <f t="shared" si="151"/>
        <v>8856.4</v>
      </c>
    </row>
    <row r="564" spans="1:13" s="152" customFormat="1" ht="37.5">
      <c r="A564" s="140"/>
      <c r="B564" s="149" t="s">
        <v>389</v>
      </c>
      <c r="C564" s="150" t="s">
        <v>453</v>
      </c>
      <c r="D564" s="139" t="s">
        <v>306</v>
      </c>
      <c r="E564" s="139" t="s">
        <v>105</v>
      </c>
      <c r="F564" s="778" t="s">
        <v>119</v>
      </c>
      <c r="G564" s="779" t="s">
        <v>83</v>
      </c>
      <c r="H564" s="779" t="s">
        <v>90</v>
      </c>
      <c r="I564" s="780" t="s">
        <v>97</v>
      </c>
      <c r="J564" s="139"/>
      <c r="K564" s="151">
        <f>K565+K569</f>
        <v>8736.4</v>
      </c>
      <c r="L564" s="151">
        <f>L565+L569</f>
        <v>120.00000000000017</v>
      </c>
      <c r="M564" s="151">
        <f>M565+M569</f>
        <v>8856.4</v>
      </c>
    </row>
    <row r="565" spans="1:13" s="136" customFormat="1" ht="37.9" customHeight="1">
      <c r="A565" s="140"/>
      <c r="B565" s="149" t="s">
        <v>100</v>
      </c>
      <c r="C565" s="150" t="s">
        <v>453</v>
      </c>
      <c r="D565" s="139" t="s">
        <v>306</v>
      </c>
      <c r="E565" s="139" t="s">
        <v>105</v>
      </c>
      <c r="F565" s="778" t="s">
        <v>119</v>
      </c>
      <c r="G565" s="779" t="s">
        <v>83</v>
      </c>
      <c r="H565" s="779" t="s">
        <v>90</v>
      </c>
      <c r="I565" s="780" t="s">
        <v>101</v>
      </c>
      <c r="J565" s="189"/>
      <c r="K565" s="151">
        <f t="shared" ref="K565" si="152">K566+K567+K568</f>
        <v>2780.2</v>
      </c>
      <c r="L565" s="151">
        <f>L566+L567+L568</f>
        <v>20</v>
      </c>
      <c r="M565" s="151">
        <f t="shared" ref="M565" si="153">M566+M567+M568</f>
        <v>2800.2</v>
      </c>
    </row>
    <row r="566" spans="1:13" s="136" customFormat="1" ht="90" customHeight="1">
      <c r="A566" s="140"/>
      <c r="B566" s="149" t="s">
        <v>102</v>
      </c>
      <c r="C566" s="150" t="s">
        <v>453</v>
      </c>
      <c r="D566" s="139" t="s">
        <v>306</v>
      </c>
      <c r="E566" s="139" t="s">
        <v>105</v>
      </c>
      <c r="F566" s="778" t="s">
        <v>119</v>
      </c>
      <c r="G566" s="779" t="s">
        <v>83</v>
      </c>
      <c r="H566" s="779" t="s">
        <v>90</v>
      </c>
      <c r="I566" s="780" t="s">
        <v>101</v>
      </c>
      <c r="J566" s="189" t="s">
        <v>103</v>
      </c>
      <c r="K566" s="151">
        <f>2413.2+22.3+89</f>
        <v>2524.5</v>
      </c>
      <c r="L566" s="151">
        <f>M566-K566</f>
        <v>0</v>
      </c>
      <c r="M566" s="151">
        <f>2413.2+22.3+89</f>
        <v>2524.5</v>
      </c>
    </row>
    <row r="567" spans="1:13" s="136" customFormat="1" ht="51" customHeight="1">
      <c r="A567" s="140"/>
      <c r="B567" s="791" t="s">
        <v>108</v>
      </c>
      <c r="C567" s="785" t="s">
        <v>453</v>
      </c>
      <c r="D567" s="786" t="s">
        <v>306</v>
      </c>
      <c r="E567" s="786" t="s">
        <v>105</v>
      </c>
      <c r="F567" s="787" t="s">
        <v>119</v>
      </c>
      <c r="G567" s="788" t="s">
        <v>83</v>
      </c>
      <c r="H567" s="788" t="s">
        <v>90</v>
      </c>
      <c r="I567" s="789" t="s">
        <v>101</v>
      </c>
      <c r="J567" s="811" t="s">
        <v>109</v>
      </c>
      <c r="K567" s="706">
        <f>202.2+49</f>
        <v>251.2</v>
      </c>
      <c r="L567" s="706">
        <f>M567-K567</f>
        <v>20</v>
      </c>
      <c r="M567" s="706">
        <f>202.2+49+20</f>
        <v>271.2</v>
      </c>
    </row>
    <row r="568" spans="1:13" s="136" customFormat="1" ht="18.75">
      <c r="A568" s="140"/>
      <c r="B568" s="149" t="s">
        <v>110</v>
      </c>
      <c r="C568" s="150" t="s">
        <v>453</v>
      </c>
      <c r="D568" s="139" t="s">
        <v>306</v>
      </c>
      <c r="E568" s="139" t="s">
        <v>105</v>
      </c>
      <c r="F568" s="778" t="s">
        <v>119</v>
      </c>
      <c r="G568" s="779" t="s">
        <v>83</v>
      </c>
      <c r="H568" s="779" t="s">
        <v>90</v>
      </c>
      <c r="I568" s="780" t="s">
        <v>101</v>
      </c>
      <c r="J568" s="139" t="s">
        <v>111</v>
      </c>
      <c r="K568" s="151">
        <v>4.5</v>
      </c>
      <c r="L568" s="151">
        <f>M568-K568</f>
        <v>0</v>
      </c>
      <c r="M568" s="151">
        <v>4.5</v>
      </c>
    </row>
    <row r="569" spans="1:13" s="152" customFormat="1" ht="71.45" customHeight="1">
      <c r="A569" s="140"/>
      <c r="B569" s="154" t="s">
        <v>458</v>
      </c>
      <c r="C569" s="150" t="s">
        <v>453</v>
      </c>
      <c r="D569" s="139" t="s">
        <v>306</v>
      </c>
      <c r="E569" s="139" t="s">
        <v>105</v>
      </c>
      <c r="F569" s="778" t="s">
        <v>119</v>
      </c>
      <c r="G569" s="779" t="s">
        <v>83</v>
      </c>
      <c r="H569" s="779" t="s">
        <v>90</v>
      </c>
      <c r="I569" s="780" t="s">
        <v>153</v>
      </c>
      <c r="J569" s="139"/>
      <c r="K569" s="151">
        <f>K570+K571+K572</f>
        <v>5956.2</v>
      </c>
      <c r="L569" s="151">
        <f>L570+L571+L572</f>
        <v>100.00000000000017</v>
      </c>
      <c r="M569" s="151">
        <f>M570+M571+M572</f>
        <v>6056.2</v>
      </c>
    </row>
    <row r="570" spans="1:13" s="136" customFormat="1" ht="108" customHeight="1">
      <c r="A570" s="140"/>
      <c r="B570" s="791" t="s">
        <v>102</v>
      </c>
      <c r="C570" s="810" t="s">
        <v>453</v>
      </c>
      <c r="D570" s="811" t="s">
        <v>306</v>
      </c>
      <c r="E570" s="811" t="s">
        <v>105</v>
      </c>
      <c r="F570" s="787" t="s">
        <v>119</v>
      </c>
      <c r="G570" s="788" t="s">
        <v>83</v>
      </c>
      <c r="H570" s="788" t="s">
        <v>90</v>
      </c>
      <c r="I570" s="789" t="s">
        <v>153</v>
      </c>
      <c r="J570" s="811" t="s">
        <v>103</v>
      </c>
      <c r="K570" s="706">
        <v>5519.4</v>
      </c>
      <c r="L570" s="706">
        <f>M570-K570</f>
        <v>14.800000000000182</v>
      </c>
      <c r="M570" s="706">
        <f>5519.4+14.8</f>
        <v>5534.2</v>
      </c>
    </row>
    <row r="571" spans="1:13" s="136" customFormat="1" ht="51.6" customHeight="1">
      <c r="A571" s="140"/>
      <c r="B571" s="791" t="s">
        <v>108</v>
      </c>
      <c r="C571" s="810" t="s">
        <v>453</v>
      </c>
      <c r="D571" s="811" t="s">
        <v>306</v>
      </c>
      <c r="E571" s="811" t="s">
        <v>105</v>
      </c>
      <c r="F571" s="787" t="s">
        <v>119</v>
      </c>
      <c r="G571" s="788" t="s">
        <v>83</v>
      </c>
      <c r="H571" s="788" t="s">
        <v>90</v>
      </c>
      <c r="I571" s="789" t="s">
        <v>153</v>
      </c>
      <c r="J571" s="811" t="s">
        <v>109</v>
      </c>
      <c r="K571" s="706">
        <f>419.8+6.6+8.6</f>
        <v>435.00000000000006</v>
      </c>
      <c r="L571" s="706">
        <f>M571-K571</f>
        <v>85.199999999999989</v>
      </c>
      <c r="M571" s="706">
        <f>419.8+6.6+8.6+85.2</f>
        <v>520.20000000000005</v>
      </c>
    </row>
    <row r="572" spans="1:13" s="152" customFormat="1" ht="18.75">
      <c r="A572" s="140"/>
      <c r="B572" s="149" t="s">
        <v>110</v>
      </c>
      <c r="C572" s="188" t="s">
        <v>453</v>
      </c>
      <c r="D572" s="189" t="s">
        <v>306</v>
      </c>
      <c r="E572" s="189" t="s">
        <v>105</v>
      </c>
      <c r="F572" s="778" t="s">
        <v>119</v>
      </c>
      <c r="G572" s="779" t="s">
        <v>83</v>
      </c>
      <c r="H572" s="779" t="s">
        <v>90</v>
      </c>
      <c r="I572" s="780" t="s">
        <v>153</v>
      </c>
      <c r="J572" s="139" t="s">
        <v>111</v>
      </c>
      <c r="K572" s="151">
        <v>1.8</v>
      </c>
      <c r="L572" s="151">
        <f>M572-K572</f>
        <v>0</v>
      </c>
      <c r="M572" s="151">
        <v>1.8</v>
      </c>
    </row>
    <row r="573" spans="1:13" s="152" customFormat="1" ht="18.75" hidden="1">
      <c r="A573" s="140"/>
      <c r="B573" s="149"/>
      <c r="C573" s="188"/>
      <c r="D573" s="189"/>
      <c r="E573" s="189"/>
      <c r="F573" s="778"/>
      <c r="G573" s="779"/>
      <c r="H573" s="779"/>
      <c r="I573" s="780"/>
      <c r="J573" s="139"/>
      <c r="K573" s="151"/>
      <c r="L573" s="151"/>
      <c r="M573" s="151"/>
    </row>
    <row r="574" spans="1:13" s="148" customFormat="1" ht="56.25" hidden="1">
      <c r="A574" s="141">
        <v>7</v>
      </c>
      <c r="B574" s="142" t="s">
        <v>58</v>
      </c>
      <c r="C574" s="143" t="s">
        <v>398</v>
      </c>
      <c r="D574" s="144"/>
      <c r="E574" s="144"/>
      <c r="F574" s="145"/>
      <c r="G574" s="146"/>
      <c r="H574" s="146"/>
      <c r="I574" s="147"/>
      <c r="J574" s="144"/>
      <c r="K574" s="228">
        <f t="shared" ref="K574:M574" si="154">K575</f>
        <v>27001.899999999998</v>
      </c>
      <c r="L574" s="228">
        <f>L575</f>
        <v>273.54330000000152</v>
      </c>
      <c r="M574" s="228">
        <f t="shared" si="154"/>
        <v>27275.473299999994</v>
      </c>
    </row>
    <row r="575" spans="1:13" s="152" customFormat="1" ht="18.75" hidden="1">
      <c r="A575" s="140"/>
      <c r="B575" s="157" t="s">
        <v>463</v>
      </c>
      <c r="C575" s="150" t="s">
        <v>398</v>
      </c>
      <c r="D575" s="139" t="s">
        <v>123</v>
      </c>
      <c r="E575" s="139"/>
      <c r="F575" s="778"/>
      <c r="G575" s="779"/>
      <c r="H575" s="779"/>
      <c r="I575" s="780"/>
      <c r="J575" s="139"/>
      <c r="K575" s="151">
        <f>K576+K593+K604</f>
        <v>27001.899999999998</v>
      </c>
      <c r="L575" s="151">
        <f>L576+L593+L604</f>
        <v>273.54330000000152</v>
      </c>
      <c r="M575" s="151">
        <f>M576+M593+M604</f>
        <v>27275.473299999994</v>
      </c>
    </row>
    <row r="576" spans="1:13" s="148" customFormat="1" ht="18.75" hidden="1">
      <c r="A576" s="140"/>
      <c r="B576" s="157" t="s">
        <v>538</v>
      </c>
      <c r="C576" s="150" t="s">
        <v>398</v>
      </c>
      <c r="D576" s="139" t="s">
        <v>123</v>
      </c>
      <c r="E576" s="139" t="s">
        <v>90</v>
      </c>
      <c r="F576" s="778"/>
      <c r="G576" s="779"/>
      <c r="H576" s="779"/>
      <c r="I576" s="780"/>
      <c r="J576" s="139"/>
      <c r="K576" s="151">
        <f t="shared" ref="K576:M576" si="155">K577</f>
        <v>23031.5</v>
      </c>
      <c r="L576" s="151">
        <f>L577</f>
        <v>173.54330000000155</v>
      </c>
      <c r="M576" s="151">
        <f t="shared" si="155"/>
        <v>23205.073299999996</v>
      </c>
    </row>
    <row r="577" spans="1:14" s="148" customFormat="1" ht="52.9" hidden="1" customHeight="1">
      <c r="A577" s="140"/>
      <c r="B577" s="149" t="s">
        <v>297</v>
      </c>
      <c r="C577" s="150" t="s">
        <v>398</v>
      </c>
      <c r="D577" s="139" t="s">
        <v>123</v>
      </c>
      <c r="E577" s="139" t="s">
        <v>90</v>
      </c>
      <c r="F577" s="778" t="s">
        <v>105</v>
      </c>
      <c r="G577" s="779" t="s">
        <v>95</v>
      </c>
      <c r="H577" s="779" t="s">
        <v>96</v>
      </c>
      <c r="I577" s="780" t="s">
        <v>97</v>
      </c>
      <c r="J577" s="139"/>
      <c r="K577" s="151">
        <f t="shared" ref="K577" si="156">K578+K582</f>
        <v>23031.5</v>
      </c>
      <c r="L577" s="151">
        <f>L578+L582</f>
        <v>173.54330000000155</v>
      </c>
      <c r="M577" s="151">
        <f t="shared" ref="M577" si="157">M578+M582</f>
        <v>23205.073299999996</v>
      </c>
    </row>
    <row r="578" spans="1:14" s="148" customFormat="1" ht="37.5" hidden="1">
      <c r="A578" s="140"/>
      <c r="B578" s="157" t="s">
        <v>298</v>
      </c>
      <c r="C578" s="150" t="s">
        <v>398</v>
      </c>
      <c r="D578" s="139" t="s">
        <v>123</v>
      </c>
      <c r="E578" s="139" t="s">
        <v>90</v>
      </c>
      <c r="F578" s="778" t="s">
        <v>105</v>
      </c>
      <c r="G578" s="779" t="s">
        <v>98</v>
      </c>
      <c r="H578" s="779" t="s">
        <v>96</v>
      </c>
      <c r="I578" s="780" t="s">
        <v>97</v>
      </c>
      <c r="J578" s="139"/>
      <c r="K578" s="151">
        <f t="shared" ref="K578:M580" si="158">K579</f>
        <v>171</v>
      </c>
      <c r="L578" s="151">
        <f>L579</f>
        <v>0</v>
      </c>
      <c r="M578" s="151">
        <f t="shared" si="158"/>
        <v>171</v>
      </c>
    </row>
    <row r="579" spans="1:14" s="148" customFormat="1" ht="18.75" hidden="1">
      <c r="A579" s="140"/>
      <c r="B579" s="149" t="s">
        <v>384</v>
      </c>
      <c r="C579" s="150" t="s">
        <v>398</v>
      </c>
      <c r="D579" s="139" t="s">
        <v>123</v>
      </c>
      <c r="E579" s="139" t="s">
        <v>90</v>
      </c>
      <c r="F579" s="778" t="s">
        <v>105</v>
      </c>
      <c r="G579" s="779" t="s">
        <v>98</v>
      </c>
      <c r="H579" s="779" t="s">
        <v>90</v>
      </c>
      <c r="I579" s="780" t="s">
        <v>97</v>
      </c>
      <c r="J579" s="139"/>
      <c r="K579" s="151">
        <f t="shared" si="158"/>
        <v>171</v>
      </c>
      <c r="L579" s="151">
        <f t="shared" si="158"/>
        <v>0</v>
      </c>
      <c r="M579" s="151">
        <f t="shared" si="158"/>
        <v>171</v>
      </c>
    </row>
    <row r="580" spans="1:14" s="148" customFormat="1" ht="56.25" hidden="1">
      <c r="A580" s="140"/>
      <c r="B580" s="149" t="s">
        <v>385</v>
      </c>
      <c r="C580" s="150" t="s">
        <v>398</v>
      </c>
      <c r="D580" s="139" t="s">
        <v>123</v>
      </c>
      <c r="E580" s="139" t="s">
        <v>90</v>
      </c>
      <c r="F580" s="778" t="s">
        <v>105</v>
      </c>
      <c r="G580" s="779" t="s">
        <v>98</v>
      </c>
      <c r="H580" s="779" t="s">
        <v>90</v>
      </c>
      <c r="I580" s="780" t="s">
        <v>386</v>
      </c>
      <c r="J580" s="139"/>
      <c r="K580" s="151">
        <f t="shared" si="158"/>
        <v>171</v>
      </c>
      <c r="L580" s="151">
        <f t="shared" si="158"/>
        <v>0</v>
      </c>
      <c r="M580" s="151">
        <f t="shared" si="158"/>
        <v>171</v>
      </c>
    </row>
    <row r="581" spans="1:14" s="148" customFormat="1" ht="37.5" hidden="1">
      <c r="A581" s="140"/>
      <c r="B581" s="149" t="s">
        <v>183</v>
      </c>
      <c r="C581" s="150" t="s">
        <v>398</v>
      </c>
      <c r="D581" s="139" t="s">
        <v>123</v>
      </c>
      <c r="E581" s="139" t="s">
        <v>90</v>
      </c>
      <c r="F581" s="778" t="s">
        <v>105</v>
      </c>
      <c r="G581" s="779" t="s">
        <v>98</v>
      </c>
      <c r="H581" s="779" t="s">
        <v>90</v>
      </c>
      <c r="I581" s="780" t="s">
        <v>386</v>
      </c>
      <c r="J581" s="139" t="s">
        <v>184</v>
      </c>
      <c r="K581" s="151">
        <v>171</v>
      </c>
      <c r="L581" s="151">
        <f>M581-K581</f>
        <v>0</v>
      </c>
      <c r="M581" s="151">
        <v>171</v>
      </c>
    </row>
    <row r="582" spans="1:14" s="152" customFormat="1" ht="37.5" hidden="1">
      <c r="A582" s="140"/>
      <c r="B582" s="149" t="s">
        <v>300</v>
      </c>
      <c r="C582" s="150" t="s">
        <v>398</v>
      </c>
      <c r="D582" s="139" t="s">
        <v>123</v>
      </c>
      <c r="E582" s="139" t="s">
        <v>90</v>
      </c>
      <c r="F582" s="778" t="s">
        <v>105</v>
      </c>
      <c r="G582" s="779" t="s">
        <v>150</v>
      </c>
      <c r="H582" s="779" t="s">
        <v>96</v>
      </c>
      <c r="I582" s="780" t="s">
        <v>97</v>
      </c>
      <c r="J582" s="139"/>
      <c r="K582" s="151">
        <f t="shared" ref="K582:M582" si="159">K583</f>
        <v>22860.5</v>
      </c>
      <c r="L582" s="151">
        <f t="shared" si="159"/>
        <v>173.54330000000155</v>
      </c>
      <c r="M582" s="151">
        <f t="shared" si="159"/>
        <v>23034.073299999996</v>
      </c>
    </row>
    <row r="583" spans="1:14" s="148" customFormat="1" ht="37.5" hidden="1">
      <c r="A583" s="140"/>
      <c r="B583" s="149" t="s">
        <v>541</v>
      </c>
      <c r="C583" s="150" t="s">
        <v>398</v>
      </c>
      <c r="D583" s="139" t="s">
        <v>123</v>
      </c>
      <c r="E583" s="139" t="s">
        <v>90</v>
      </c>
      <c r="F583" s="778" t="s">
        <v>105</v>
      </c>
      <c r="G583" s="779" t="s">
        <v>150</v>
      </c>
      <c r="H583" s="779" t="s">
        <v>92</v>
      </c>
      <c r="I583" s="780" t="s">
        <v>97</v>
      </c>
      <c r="J583" s="139"/>
      <c r="K583" s="151">
        <f>K584+K588+K590</f>
        <v>22860.5</v>
      </c>
      <c r="L583" s="151">
        <f>L584+L588+L590</f>
        <v>173.54330000000155</v>
      </c>
      <c r="M583" s="151">
        <f>M584+M588+M590</f>
        <v>23034.073299999996</v>
      </c>
    </row>
    <row r="584" spans="1:14" s="148" customFormat="1" ht="69.599999999999994" hidden="1" customHeight="1">
      <c r="A584" s="140"/>
      <c r="B584" s="149" t="s">
        <v>151</v>
      </c>
      <c r="C584" s="150" t="s">
        <v>398</v>
      </c>
      <c r="D584" s="139" t="s">
        <v>123</v>
      </c>
      <c r="E584" s="139" t="s">
        <v>90</v>
      </c>
      <c r="F584" s="778" t="s">
        <v>105</v>
      </c>
      <c r="G584" s="779" t="s">
        <v>150</v>
      </c>
      <c r="H584" s="779" t="s">
        <v>92</v>
      </c>
      <c r="I584" s="780" t="s">
        <v>153</v>
      </c>
      <c r="J584" s="139"/>
      <c r="K584" s="151">
        <f t="shared" ref="K584" si="160">K585+K586+K587</f>
        <v>22063.5</v>
      </c>
      <c r="L584" s="151">
        <f>L585+L586+L587</f>
        <v>197.44330000000156</v>
      </c>
      <c r="M584" s="151">
        <f t="shared" ref="M584" si="161">M585+M586+M587</f>
        <v>22260.973299999998</v>
      </c>
    </row>
    <row r="585" spans="1:14" s="148" customFormat="1" ht="106.15" hidden="1" customHeight="1">
      <c r="A585" s="140"/>
      <c r="B585" s="791" t="s">
        <v>102</v>
      </c>
      <c r="C585" s="785" t="s">
        <v>398</v>
      </c>
      <c r="D585" s="786" t="s">
        <v>123</v>
      </c>
      <c r="E585" s="786" t="s">
        <v>90</v>
      </c>
      <c r="F585" s="787" t="s">
        <v>105</v>
      </c>
      <c r="G585" s="788" t="s">
        <v>150</v>
      </c>
      <c r="H585" s="788" t="s">
        <v>92</v>
      </c>
      <c r="I585" s="789" t="s">
        <v>153</v>
      </c>
      <c r="J585" s="786" t="s">
        <v>103</v>
      </c>
      <c r="K585" s="706">
        <f>21275.2+1081.3+200-1003.5-399.5-1202.2+163.8</f>
        <v>20115.099999999999</v>
      </c>
      <c r="L585" s="706">
        <f>M585-K585-0.03</f>
        <v>197.44330000000147</v>
      </c>
      <c r="M585" s="706">
        <f>21275.2+1081.3+200-1003.5-399.5-1202.2+163.8+158.5+38.9+0.0733</f>
        <v>20312.5733</v>
      </c>
      <c r="N585" s="148">
        <v>-0.03</v>
      </c>
    </row>
    <row r="586" spans="1:14" s="152" customFormat="1" ht="57.6" hidden="1" customHeight="1">
      <c r="A586" s="140"/>
      <c r="B586" s="791" t="s">
        <v>108</v>
      </c>
      <c r="C586" s="785" t="s">
        <v>398</v>
      </c>
      <c r="D586" s="786" t="s">
        <v>123</v>
      </c>
      <c r="E586" s="786" t="s">
        <v>90</v>
      </c>
      <c r="F586" s="787" t="s">
        <v>105</v>
      </c>
      <c r="G586" s="788" t="s">
        <v>150</v>
      </c>
      <c r="H586" s="788" t="s">
        <v>92</v>
      </c>
      <c r="I586" s="789" t="s">
        <v>153</v>
      </c>
      <c r="J586" s="786" t="s">
        <v>109</v>
      </c>
      <c r="K586" s="706">
        <f>5935.8-1032-1203.5-479-1438+81.1</f>
        <v>1864.4</v>
      </c>
      <c r="L586" s="706">
        <f>M586-K586</f>
        <v>-7.0999999999999091</v>
      </c>
      <c r="M586" s="706">
        <f>5935.8-1032-1203.5-479-1438+81.1-7.1</f>
        <v>1857.3000000000002</v>
      </c>
    </row>
    <row r="587" spans="1:14" s="148" customFormat="1" ht="18.75" hidden="1">
      <c r="A587" s="140"/>
      <c r="B587" s="791" t="s">
        <v>110</v>
      </c>
      <c r="C587" s="785" t="s">
        <v>398</v>
      </c>
      <c r="D587" s="786" t="s">
        <v>123</v>
      </c>
      <c r="E587" s="786" t="s">
        <v>90</v>
      </c>
      <c r="F587" s="787" t="s">
        <v>105</v>
      </c>
      <c r="G587" s="788" t="s">
        <v>150</v>
      </c>
      <c r="H587" s="788" t="s">
        <v>92</v>
      </c>
      <c r="I587" s="789" t="s">
        <v>153</v>
      </c>
      <c r="J587" s="786" t="s">
        <v>111</v>
      </c>
      <c r="K587" s="706">
        <f>2358.3-876.8-349-1048.5</f>
        <v>84.000000000000227</v>
      </c>
      <c r="L587" s="706">
        <f t="shared" ref="L587" si="162">M587-K587</f>
        <v>7.0999999999999943</v>
      </c>
      <c r="M587" s="706">
        <f>2358.3-876.8-349-1048.5+7.1</f>
        <v>91.100000000000222</v>
      </c>
    </row>
    <row r="588" spans="1:14" s="148" customFormat="1" ht="37.5" hidden="1">
      <c r="A588" s="140"/>
      <c r="B588" s="149" t="s">
        <v>619</v>
      </c>
      <c r="C588" s="150" t="s">
        <v>398</v>
      </c>
      <c r="D588" s="139" t="s">
        <v>123</v>
      </c>
      <c r="E588" s="139" t="s">
        <v>90</v>
      </c>
      <c r="F588" s="778" t="s">
        <v>105</v>
      </c>
      <c r="G588" s="779" t="s">
        <v>150</v>
      </c>
      <c r="H588" s="779" t="s">
        <v>92</v>
      </c>
      <c r="I588" s="780" t="s">
        <v>618</v>
      </c>
      <c r="J588" s="139"/>
      <c r="K588" s="151">
        <f>K589</f>
        <v>619.99999999999955</v>
      </c>
      <c r="L588" s="151">
        <f>L589</f>
        <v>0</v>
      </c>
      <c r="M588" s="151">
        <f>M589</f>
        <v>619.99999999999955</v>
      </c>
    </row>
    <row r="589" spans="1:14" s="148" customFormat="1" ht="56.25" hidden="1">
      <c r="A589" s="140"/>
      <c r="B589" s="149" t="s">
        <v>108</v>
      </c>
      <c r="C589" s="150" t="s">
        <v>398</v>
      </c>
      <c r="D589" s="139" t="s">
        <v>123</v>
      </c>
      <c r="E589" s="139" t="s">
        <v>90</v>
      </c>
      <c r="F589" s="778" t="s">
        <v>105</v>
      </c>
      <c r="G589" s="779" t="s">
        <v>150</v>
      </c>
      <c r="H589" s="779" t="s">
        <v>92</v>
      </c>
      <c r="I589" s="780" t="s">
        <v>618</v>
      </c>
      <c r="J589" s="139" t="s">
        <v>109</v>
      </c>
      <c r="K589" s="151">
        <f>6926.7+945-5214.1-2037.6</f>
        <v>619.99999999999955</v>
      </c>
      <c r="L589" s="151">
        <f>M589-K589</f>
        <v>0</v>
      </c>
      <c r="M589" s="151">
        <f>6926.7+945-5214.1-2037.6</f>
        <v>619.99999999999955</v>
      </c>
    </row>
    <row r="590" spans="1:14" s="148" customFormat="1" ht="56.25" hidden="1">
      <c r="A590" s="140"/>
      <c r="B590" s="791" t="s">
        <v>299</v>
      </c>
      <c r="C590" s="785" t="s">
        <v>398</v>
      </c>
      <c r="D590" s="786" t="s">
        <v>123</v>
      </c>
      <c r="E590" s="786" t="s">
        <v>90</v>
      </c>
      <c r="F590" s="787" t="s">
        <v>105</v>
      </c>
      <c r="G590" s="788" t="s">
        <v>150</v>
      </c>
      <c r="H590" s="788" t="s">
        <v>92</v>
      </c>
      <c r="I590" s="789" t="s">
        <v>400</v>
      </c>
      <c r="J590" s="786"/>
      <c r="K590" s="706">
        <f>K592+K591</f>
        <v>177</v>
      </c>
      <c r="L590" s="706">
        <f>L591+L592</f>
        <v>-23.900000000000006</v>
      </c>
      <c r="M590" s="706">
        <f>M592+M591</f>
        <v>153.1</v>
      </c>
    </row>
    <row r="591" spans="1:14" s="148" customFormat="1" ht="112.5" hidden="1">
      <c r="A591" s="140"/>
      <c r="B591" s="791" t="s">
        <v>102</v>
      </c>
      <c r="C591" s="785" t="s">
        <v>398</v>
      </c>
      <c r="D591" s="786" t="s">
        <v>123</v>
      </c>
      <c r="E591" s="786" t="s">
        <v>90</v>
      </c>
      <c r="F591" s="787" t="s">
        <v>105</v>
      </c>
      <c r="G591" s="788" t="s">
        <v>150</v>
      </c>
      <c r="H591" s="788" t="s">
        <v>92</v>
      </c>
      <c r="I591" s="789" t="s">
        <v>400</v>
      </c>
      <c r="J591" s="786" t="s">
        <v>103</v>
      </c>
      <c r="K591" s="706">
        <v>0</v>
      </c>
      <c r="L591" s="706">
        <f>M591-K591</f>
        <v>14</v>
      </c>
      <c r="M591" s="706">
        <v>14</v>
      </c>
    </row>
    <row r="592" spans="1:14" s="148" customFormat="1" ht="54.6" hidden="1" customHeight="1">
      <c r="A592" s="140"/>
      <c r="B592" s="791" t="s">
        <v>108</v>
      </c>
      <c r="C592" s="785" t="s">
        <v>398</v>
      </c>
      <c r="D592" s="786" t="s">
        <v>123</v>
      </c>
      <c r="E592" s="786" t="s">
        <v>90</v>
      </c>
      <c r="F592" s="787" t="s">
        <v>105</v>
      </c>
      <c r="G592" s="788" t="s">
        <v>150</v>
      </c>
      <c r="H592" s="788" t="s">
        <v>92</v>
      </c>
      <c r="I592" s="789" t="s">
        <v>400</v>
      </c>
      <c r="J592" s="786" t="s">
        <v>109</v>
      </c>
      <c r="K592" s="706">
        <f>105.9+71.1</f>
        <v>177</v>
      </c>
      <c r="L592" s="706">
        <f>M592-K592</f>
        <v>-37.900000000000006</v>
      </c>
      <c r="M592" s="706">
        <f>105.9+71.1-8.5-29.4</f>
        <v>139.1</v>
      </c>
    </row>
    <row r="593" spans="1:13" s="152" customFormat="1" ht="18.75" hidden="1">
      <c r="A593" s="140"/>
      <c r="B593" s="157" t="s">
        <v>401</v>
      </c>
      <c r="C593" s="150" t="s">
        <v>398</v>
      </c>
      <c r="D593" s="139" t="s">
        <v>123</v>
      </c>
      <c r="E593" s="139" t="s">
        <v>92</v>
      </c>
      <c r="F593" s="778"/>
      <c r="G593" s="779"/>
      <c r="H593" s="779"/>
      <c r="I593" s="780"/>
      <c r="J593" s="139"/>
      <c r="K593" s="151">
        <f t="shared" ref="K593:M593" si="163">K594</f>
        <v>1620.3</v>
      </c>
      <c r="L593" s="151">
        <f>L594</f>
        <v>100</v>
      </c>
      <c r="M593" s="151">
        <f t="shared" si="163"/>
        <v>1720.3</v>
      </c>
    </row>
    <row r="594" spans="1:13" s="152" customFormat="1" ht="56.25" hidden="1">
      <c r="A594" s="140"/>
      <c r="B594" s="149" t="s">
        <v>297</v>
      </c>
      <c r="C594" s="150" t="s">
        <v>398</v>
      </c>
      <c r="D594" s="139" t="s">
        <v>123</v>
      </c>
      <c r="E594" s="139" t="s">
        <v>92</v>
      </c>
      <c r="F594" s="778" t="s">
        <v>105</v>
      </c>
      <c r="G594" s="779" t="s">
        <v>95</v>
      </c>
      <c r="H594" s="779" t="s">
        <v>96</v>
      </c>
      <c r="I594" s="780" t="s">
        <v>97</v>
      </c>
      <c r="J594" s="139"/>
      <c r="K594" s="151">
        <f t="shared" ref="K594" si="164">K595+K600</f>
        <v>1620.3</v>
      </c>
      <c r="L594" s="151">
        <f>L595</f>
        <v>100</v>
      </c>
      <c r="M594" s="151">
        <f t="shared" ref="M594" si="165">M595+M600</f>
        <v>1720.3</v>
      </c>
    </row>
    <row r="595" spans="1:13" s="152" customFormat="1" ht="37.5" hidden="1">
      <c r="A595" s="140"/>
      <c r="B595" s="157" t="s">
        <v>298</v>
      </c>
      <c r="C595" s="150" t="s">
        <v>398</v>
      </c>
      <c r="D595" s="139" t="s">
        <v>123</v>
      </c>
      <c r="E595" s="139" t="s">
        <v>92</v>
      </c>
      <c r="F595" s="778" t="s">
        <v>105</v>
      </c>
      <c r="G595" s="779" t="s">
        <v>98</v>
      </c>
      <c r="H595" s="779" t="s">
        <v>96</v>
      </c>
      <c r="I595" s="780" t="s">
        <v>97</v>
      </c>
      <c r="J595" s="139"/>
      <c r="K595" s="151">
        <f t="shared" ref="K595:M596" si="166">K596</f>
        <v>597.09999999999991</v>
      </c>
      <c r="L595" s="151">
        <f>L596</f>
        <v>100</v>
      </c>
      <c r="M595" s="151">
        <f t="shared" si="166"/>
        <v>697.09999999999991</v>
      </c>
    </row>
    <row r="596" spans="1:13" s="152" customFormat="1" ht="56.25" hidden="1">
      <c r="A596" s="140"/>
      <c r="B596" s="149" t="s">
        <v>399</v>
      </c>
      <c r="C596" s="150" t="s">
        <v>398</v>
      </c>
      <c r="D596" s="139" t="s">
        <v>123</v>
      </c>
      <c r="E596" s="139" t="s">
        <v>92</v>
      </c>
      <c r="F596" s="778" t="s">
        <v>105</v>
      </c>
      <c r="G596" s="779" t="s">
        <v>98</v>
      </c>
      <c r="H596" s="779" t="s">
        <v>92</v>
      </c>
      <c r="I596" s="780" t="s">
        <v>97</v>
      </c>
      <c r="J596" s="139"/>
      <c r="K596" s="151">
        <f t="shared" si="166"/>
        <v>597.09999999999991</v>
      </c>
      <c r="L596" s="151">
        <f>L597</f>
        <v>100</v>
      </c>
      <c r="M596" s="151">
        <f t="shared" si="166"/>
        <v>697.09999999999991</v>
      </c>
    </row>
    <row r="597" spans="1:13" s="152" customFormat="1" ht="56.25" hidden="1">
      <c r="A597" s="140"/>
      <c r="B597" s="149" t="s">
        <v>299</v>
      </c>
      <c r="C597" s="150" t="s">
        <v>398</v>
      </c>
      <c r="D597" s="139" t="s">
        <v>123</v>
      </c>
      <c r="E597" s="139" t="s">
        <v>92</v>
      </c>
      <c r="F597" s="778" t="s">
        <v>105</v>
      </c>
      <c r="G597" s="779" t="s">
        <v>98</v>
      </c>
      <c r="H597" s="779" t="s">
        <v>92</v>
      </c>
      <c r="I597" s="780" t="s">
        <v>400</v>
      </c>
      <c r="J597" s="139"/>
      <c r="K597" s="151">
        <f t="shared" ref="K597" si="167">SUM(K598:K599)</f>
        <v>597.09999999999991</v>
      </c>
      <c r="L597" s="151">
        <f>SUM(L598:L599)</f>
        <v>100</v>
      </c>
      <c r="M597" s="151">
        <f t="shared" ref="M597" si="168">SUM(M598:M599)</f>
        <v>697.09999999999991</v>
      </c>
    </row>
    <row r="598" spans="1:13" s="152" customFormat="1" ht="103.15" hidden="1" customHeight="1">
      <c r="A598" s="140"/>
      <c r="B598" s="791" t="s">
        <v>102</v>
      </c>
      <c r="C598" s="785" t="s">
        <v>398</v>
      </c>
      <c r="D598" s="786" t="s">
        <v>123</v>
      </c>
      <c r="E598" s="786" t="s">
        <v>92</v>
      </c>
      <c r="F598" s="787" t="s">
        <v>105</v>
      </c>
      <c r="G598" s="788" t="s">
        <v>98</v>
      </c>
      <c r="H598" s="788" t="s">
        <v>92</v>
      </c>
      <c r="I598" s="789" t="s">
        <v>400</v>
      </c>
      <c r="J598" s="786" t="s">
        <v>103</v>
      </c>
      <c r="K598" s="706">
        <f>439.8+110</f>
        <v>549.79999999999995</v>
      </c>
      <c r="L598" s="706">
        <f>M598-K598</f>
        <v>100</v>
      </c>
      <c r="M598" s="706">
        <f>439.8+110+100</f>
        <v>649.79999999999995</v>
      </c>
    </row>
    <row r="599" spans="1:13" s="152" customFormat="1" ht="52.9" hidden="1" customHeight="1">
      <c r="A599" s="140"/>
      <c r="B599" s="149" t="s">
        <v>108</v>
      </c>
      <c r="C599" s="150" t="s">
        <v>398</v>
      </c>
      <c r="D599" s="139" t="s">
        <v>123</v>
      </c>
      <c r="E599" s="139" t="s">
        <v>92</v>
      </c>
      <c r="F599" s="778" t="s">
        <v>105</v>
      </c>
      <c r="G599" s="779" t="s">
        <v>98</v>
      </c>
      <c r="H599" s="779" t="s">
        <v>92</v>
      </c>
      <c r="I599" s="780" t="s">
        <v>400</v>
      </c>
      <c r="J599" s="139" t="s">
        <v>109</v>
      </c>
      <c r="K599" s="151">
        <v>47.3</v>
      </c>
      <c r="L599" s="151">
        <f t="shared" ref="L599" si="169">M599-K599</f>
        <v>0</v>
      </c>
      <c r="M599" s="151">
        <v>47.3</v>
      </c>
    </row>
    <row r="600" spans="1:13" s="152" customFormat="1" ht="37.5" hidden="1">
      <c r="A600" s="140"/>
      <c r="B600" s="158" t="s">
        <v>491</v>
      </c>
      <c r="C600" s="150" t="s">
        <v>398</v>
      </c>
      <c r="D600" s="139" t="s">
        <v>123</v>
      </c>
      <c r="E600" s="139" t="s">
        <v>92</v>
      </c>
      <c r="F600" s="778" t="s">
        <v>105</v>
      </c>
      <c r="G600" s="779" t="s">
        <v>84</v>
      </c>
      <c r="H600" s="779" t="s">
        <v>96</v>
      </c>
      <c r="I600" s="780" t="s">
        <v>97</v>
      </c>
      <c r="J600" s="139"/>
      <c r="K600" s="151">
        <f t="shared" ref="K600:M602" si="170">K601</f>
        <v>1023.2</v>
      </c>
      <c r="L600" s="151">
        <f t="shared" si="170"/>
        <v>0</v>
      </c>
      <c r="M600" s="151">
        <f t="shared" si="170"/>
        <v>1023.2</v>
      </c>
    </row>
    <row r="601" spans="1:13" s="152" customFormat="1" ht="75" hidden="1">
      <c r="A601" s="140"/>
      <c r="B601" s="149" t="s">
        <v>574</v>
      </c>
      <c r="C601" s="150" t="s">
        <v>398</v>
      </c>
      <c r="D601" s="139" t="s">
        <v>123</v>
      </c>
      <c r="E601" s="139" t="s">
        <v>92</v>
      </c>
      <c r="F601" s="778" t="s">
        <v>105</v>
      </c>
      <c r="G601" s="779" t="s">
        <v>84</v>
      </c>
      <c r="H601" s="779" t="s">
        <v>105</v>
      </c>
      <c r="I601" s="780" t="s">
        <v>97</v>
      </c>
      <c r="J601" s="139"/>
      <c r="K601" s="151">
        <f t="shared" si="170"/>
        <v>1023.2</v>
      </c>
      <c r="L601" s="151">
        <f t="shared" si="170"/>
        <v>0</v>
      </c>
      <c r="M601" s="151">
        <f t="shared" si="170"/>
        <v>1023.2</v>
      </c>
    </row>
    <row r="602" spans="1:13" s="152" customFormat="1" ht="41.45" hidden="1" customHeight="1">
      <c r="A602" s="140"/>
      <c r="B602" s="149" t="s">
        <v>133</v>
      </c>
      <c r="C602" s="150" t="s">
        <v>398</v>
      </c>
      <c r="D602" s="139" t="s">
        <v>123</v>
      </c>
      <c r="E602" s="139" t="s">
        <v>92</v>
      </c>
      <c r="F602" s="778" t="s">
        <v>105</v>
      </c>
      <c r="G602" s="779" t="s">
        <v>84</v>
      </c>
      <c r="H602" s="779" t="s">
        <v>105</v>
      </c>
      <c r="I602" s="780" t="s">
        <v>134</v>
      </c>
      <c r="J602" s="139"/>
      <c r="K602" s="151">
        <f t="shared" si="170"/>
        <v>1023.2</v>
      </c>
      <c r="L602" s="151">
        <f t="shared" si="170"/>
        <v>0</v>
      </c>
      <c r="M602" s="151">
        <f t="shared" si="170"/>
        <v>1023.2</v>
      </c>
    </row>
    <row r="603" spans="1:13" s="152" customFormat="1" ht="56.25" hidden="1">
      <c r="A603" s="140"/>
      <c r="B603" s="159" t="s">
        <v>135</v>
      </c>
      <c r="C603" s="150" t="s">
        <v>398</v>
      </c>
      <c r="D603" s="139" t="s">
        <v>123</v>
      </c>
      <c r="E603" s="139" t="s">
        <v>92</v>
      </c>
      <c r="F603" s="778" t="s">
        <v>105</v>
      </c>
      <c r="G603" s="779" t="s">
        <v>84</v>
      </c>
      <c r="H603" s="779" t="s">
        <v>105</v>
      </c>
      <c r="I603" s="780" t="s">
        <v>134</v>
      </c>
      <c r="J603" s="139" t="s">
        <v>136</v>
      </c>
      <c r="K603" s="151">
        <v>1023.2</v>
      </c>
      <c r="L603" s="151">
        <f>M603-K603</f>
        <v>0</v>
      </c>
      <c r="M603" s="151">
        <v>1023.2</v>
      </c>
    </row>
    <row r="604" spans="1:13" s="152" customFormat="1" ht="37.5" hidden="1">
      <c r="A604" s="140"/>
      <c r="B604" s="157" t="s">
        <v>278</v>
      </c>
      <c r="C604" s="150" t="s">
        <v>398</v>
      </c>
      <c r="D604" s="139" t="s">
        <v>123</v>
      </c>
      <c r="E604" s="139" t="s">
        <v>121</v>
      </c>
      <c r="F604" s="778"/>
      <c r="G604" s="779"/>
      <c r="H604" s="779"/>
      <c r="I604" s="780"/>
      <c r="J604" s="139"/>
      <c r="K604" s="151">
        <f t="shared" ref="K604:M607" si="171">K605</f>
        <v>2350.1</v>
      </c>
      <c r="L604" s="151">
        <f t="shared" si="171"/>
        <v>0</v>
      </c>
      <c r="M604" s="151">
        <f t="shared" si="171"/>
        <v>2350.1</v>
      </c>
    </row>
    <row r="605" spans="1:13" s="152" customFormat="1" ht="56.25" hidden="1">
      <c r="A605" s="140"/>
      <c r="B605" s="149" t="s">
        <v>297</v>
      </c>
      <c r="C605" s="150" t="s">
        <v>398</v>
      </c>
      <c r="D605" s="139" t="s">
        <v>123</v>
      </c>
      <c r="E605" s="139" t="s">
        <v>121</v>
      </c>
      <c r="F605" s="778" t="s">
        <v>105</v>
      </c>
      <c r="G605" s="779" t="s">
        <v>95</v>
      </c>
      <c r="H605" s="779" t="s">
        <v>96</v>
      </c>
      <c r="I605" s="780" t="s">
        <v>97</v>
      </c>
      <c r="J605" s="139"/>
      <c r="K605" s="151">
        <f t="shared" si="171"/>
        <v>2350.1</v>
      </c>
      <c r="L605" s="151">
        <f t="shared" si="171"/>
        <v>0</v>
      </c>
      <c r="M605" s="151">
        <f t="shared" si="171"/>
        <v>2350.1</v>
      </c>
    </row>
    <row r="606" spans="1:13" s="152" customFormat="1" ht="37.5" hidden="1">
      <c r="A606" s="140"/>
      <c r="B606" s="155" t="s">
        <v>300</v>
      </c>
      <c r="C606" s="150" t="s">
        <v>398</v>
      </c>
      <c r="D606" s="139" t="s">
        <v>123</v>
      </c>
      <c r="E606" s="139" t="s">
        <v>121</v>
      </c>
      <c r="F606" s="778" t="s">
        <v>105</v>
      </c>
      <c r="G606" s="779" t="s">
        <v>150</v>
      </c>
      <c r="H606" s="779" t="s">
        <v>96</v>
      </c>
      <c r="I606" s="780" t="s">
        <v>97</v>
      </c>
      <c r="J606" s="139"/>
      <c r="K606" s="151">
        <f t="shared" si="171"/>
        <v>2350.1</v>
      </c>
      <c r="L606" s="151">
        <f t="shared" si="171"/>
        <v>0</v>
      </c>
      <c r="M606" s="151">
        <f t="shared" si="171"/>
        <v>2350.1</v>
      </c>
    </row>
    <row r="607" spans="1:13" s="152" customFormat="1" ht="37.5" hidden="1">
      <c r="A607" s="140"/>
      <c r="B607" s="149" t="s">
        <v>389</v>
      </c>
      <c r="C607" s="150" t="s">
        <v>398</v>
      </c>
      <c r="D607" s="139" t="s">
        <v>123</v>
      </c>
      <c r="E607" s="139" t="s">
        <v>121</v>
      </c>
      <c r="F607" s="778" t="s">
        <v>105</v>
      </c>
      <c r="G607" s="779" t="s">
        <v>150</v>
      </c>
      <c r="H607" s="779" t="s">
        <v>90</v>
      </c>
      <c r="I607" s="780" t="s">
        <v>97</v>
      </c>
      <c r="J607" s="139"/>
      <c r="K607" s="151">
        <f t="shared" si="171"/>
        <v>2350.1</v>
      </c>
      <c r="L607" s="151">
        <f t="shared" si="171"/>
        <v>0</v>
      </c>
      <c r="M607" s="151">
        <f t="shared" si="171"/>
        <v>2350.1</v>
      </c>
    </row>
    <row r="608" spans="1:13" s="152" customFormat="1" ht="37.5" hidden="1">
      <c r="A608" s="140"/>
      <c r="B608" s="149" t="s">
        <v>100</v>
      </c>
      <c r="C608" s="150" t="s">
        <v>398</v>
      </c>
      <c r="D608" s="139" t="s">
        <v>123</v>
      </c>
      <c r="E608" s="139" t="s">
        <v>121</v>
      </c>
      <c r="F608" s="778" t="s">
        <v>105</v>
      </c>
      <c r="G608" s="779" t="s">
        <v>150</v>
      </c>
      <c r="H608" s="779" t="s">
        <v>90</v>
      </c>
      <c r="I608" s="780" t="s">
        <v>101</v>
      </c>
      <c r="J608" s="139"/>
      <c r="K608" s="151">
        <f t="shared" ref="K608" si="172">K609+K610+K611</f>
        <v>2350.1</v>
      </c>
      <c r="L608" s="151">
        <f t="shared" ref="L608:M608" si="173">L609+L610+L611</f>
        <v>0</v>
      </c>
      <c r="M608" s="151">
        <f t="shared" si="173"/>
        <v>2350.1</v>
      </c>
    </row>
    <row r="609" spans="1:13" s="152" customFormat="1" ht="87.6" hidden="1" customHeight="1">
      <c r="A609" s="140"/>
      <c r="B609" s="149" t="s">
        <v>102</v>
      </c>
      <c r="C609" s="150" t="s">
        <v>398</v>
      </c>
      <c r="D609" s="139" t="s">
        <v>123</v>
      </c>
      <c r="E609" s="139" t="s">
        <v>121</v>
      </c>
      <c r="F609" s="778" t="s">
        <v>105</v>
      </c>
      <c r="G609" s="779" t="s">
        <v>150</v>
      </c>
      <c r="H609" s="779" t="s">
        <v>90</v>
      </c>
      <c r="I609" s="780" t="s">
        <v>101</v>
      </c>
      <c r="J609" s="139" t="s">
        <v>103</v>
      </c>
      <c r="K609" s="151">
        <v>2262.1</v>
      </c>
      <c r="L609" s="151">
        <f t="shared" ref="L609:L611" si="174">M609-K609</f>
        <v>0</v>
      </c>
      <c r="M609" s="151">
        <v>2262.1</v>
      </c>
    </row>
    <row r="610" spans="1:13" s="152" customFormat="1" ht="56.45" hidden="1" customHeight="1">
      <c r="A610" s="140"/>
      <c r="B610" s="724" t="s">
        <v>108</v>
      </c>
      <c r="C610" s="150" t="s">
        <v>398</v>
      </c>
      <c r="D610" s="139" t="s">
        <v>123</v>
      </c>
      <c r="E610" s="139" t="s">
        <v>121</v>
      </c>
      <c r="F610" s="778" t="s">
        <v>105</v>
      </c>
      <c r="G610" s="779" t="s">
        <v>150</v>
      </c>
      <c r="H610" s="779" t="s">
        <v>90</v>
      </c>
      <c r="I610" s="780" t="s">
        <v>101</v>
      </c>
      <c r="J610" s="139" t="s">
        <v>109</v>
      </c>
      <c r="K610" s="151">
        <v>85.8</v>
      </c>
      <c r="L610" s="151">
        <f t="shared" si="174"/>
        <v>0</v>
      </c>
      <c r="M610" s="151">
        <v>85.8</v>
      </c>
    </row>
    <row r="611" spans="1:13" s="152" customFormat="1" ht="18.75" hidden="1">
      <c r="A611" s="140"/>
      <c r="B611" s="149" t="s">
        <v>110</v>
      </c>
      <c r="C611" s="150" t="s">
        <v>398</v>
      </c>
      <c r="D611" s="139" t="s">
        <v>123</v>
      </c>
      <c r="E611" s="139" t="s">
        <v>121</v>
      </c>
      <c r="F611" s="778" t="s">
        <v>105</v>
      </c>
      <c r="G611" s="779" t="s">
        <v>150</v>
      </c>
      <c r="H611" s="779" t="s">
        <v>90</v>
      </c>
      <c r="I611" s="780" t="s">
        <v>101</v>
      </c>
      <c r="J611" s="139" t="s">
        <v>111</v>
      </c>
      <c r="K611" s="151">
        <v>2.2000000000000002</v>
      </c>
      <c r="L611" s="151">
        <f t="shared" si="174"/>
        <v>0</v>
      </c>
      <c r="M611" s="151">
        <v>2.2000000000000002</v>
      </c>
    </row>
    <row r="612" spans="1:13" s="152" customFormat="1" ht="18.75" hidden="1">
      <c r="A612" s="140"/>
      <c r="B612" s="149"/>
      <c r="C612" s="150"/>
      <c r="D612" s="139"/>
      <c r="E612" s="139"/>
      <c r="F612" s="778"/>
      <c r="G612" s="779"/>
      <c r="H612" s="779"/>
      <c r="I612" s="780"/>
      <c r="J612" s="139"/>
      <c r="K612" s="151"/>
      <c r="L612" s="151"/>
      <c r="M612" s="151"/>
    </row>
    <row r="613" spans="1:13" s="148" customFormat="1" ht="56.25" hidden="1">
      <c r="A613" s="141">
        <v>8</v>
      </c>
      <c r="B613" s="142" t="s">
        <v>59</v>
      </c>
      <c r="C613" s="143" t="s">
        <v>394</v>
      </c>
      <c r="D613" s="144"/>
      <c r="E613" s="144"/>
      <c r="F613" s="145"/>
      <c r="G613" s="146"/>
      <c r="H613" s="146"/>
      <c r="I613" s="147"/>
      <c r="J613" s="144"/>
      <c r="K613" s="228">
        <f>K614</f>
        <v>5580.2</v>
      </c>
      <c r="L613" s="228">
        <f>L614</f>
        <v>100</v>
      </c>
      <c r="M613" s="228">
        <f>M614</f>
        <v>5680.2</v>
      </c>
    </row>
    <row r="614" spans="1:13" s="152" customFormat="1" ht="18.75" hidden="1">
      <c r="A614" s="141"/>
      <c r="B614" s="149" t="s">
        <v>254</v>
      </c>
      <c r="C614" s="150" t="s">
        <v>394</v>
      </c>
      <c r="D614" s="139" t="s">
        <v>304</v>
      </c>
      <c r="E614" s="139"/>
      <c r="F614" s="778"/>
      <c r="G614" s="779"/>
      <c r="H614" s="779"/>
      <c r="I614" s="780"/>
      <c r="J614" s="139"/>
      <c r="K614" s="151">
        <f>K615+K624</f>
        <v>5580.2</v>
      </c>
      <c r="L614" s="151">
        <f>L615+L624</f>
        <v>100</v>
      </c>
      <c r="M614" s="151">
        <f>M615+M624</f>
        <v>5680.2</v>
      </c>
    </row>
    <row r="615" spans="1:13" s="153" customFormat="1" ht="18.75" hidden="1">
      <c r="A615" s="141"/>
      <c r="B615" s="149" t="s">
        <v>518</v>
      </c>
      <c r="C615" s="150" t="s">
        <v>394</v>
      </c>
      <c r="D615" s="139" t="s">
        <v>304</v>
      </c>
      <c r="E615" s="139" t="s">
        <v>304</v>
      </c>
      <c r="F615" s="778"/>
      <c r="G615" s="779"/>
      <c r="H615" s="779"/>
      <c r="I615" s="780"/>
      <c r="J615" s="139"/>
      <c r="K615" s="151">
        <f t="shared" ref="K615:M617" si="175">K616</f>
        <v>2706.7</v>
      </c>
      <c r="L615" s="151">
        <f t="shared" si="175"/>
        <v>45</v>
      </c>
      <c r="M615" s="151">
        <f t="shared" si="175"/>
        <v>2751.7</v>
      </c>
    </row>
    <row r="616" spans="1:13" s="153" customFormat="1" ht="56.25" hidden="1">
      <c r="A616" s="141"/>
      <c r="B616" s="149" t="s">
        <v>301</v>
      </c>
      <c r="C616" s="150" t="s">
        <v>394</v>
      </c>
      <c r="D616" s="139" t="s">
        <v>304</v>
      </c>
      <c r="E616" s="139" t="s">
        <v>304</v>
      </c>
      <c r="F616" s="778" t="s">
        <v>121</v>
      </c>
      <c r="G616" s="779" t="s">
        <v>95</v>
      </c>
      <c r="H616" s="779" t="s">
        <v>96</v>
      </c>
      <c r="I616" s="780" t="s">
        <v>97</v>
      </c>
      <c r="J616" s="139"/>
      <c r="K616" s="151">
        <f t="shared" si="175"/>
        <v>2706.7</v>
      </c>
      <c r="L616" s="151">
        <f t="shared" si="175"/>
        <v>45</v>
      </c>
      <c r="M616" s="151">
        <f t="shared" si="175"/>
        <v>2751.7</v>
      </c>
    </row>
    <row r="617" spans="1:13" s="153" customFormat="1" ht="18.75" hidden="1">
      <c r="A617" s="141"/>
      <c r="B617" s="149" t="s">
        <v>302</v>
      </c>
      <c r="C617" s="150" t="s">
        <v>394</v>
      </c>
      <c r="D617" s="139" t="s">
        <v>304</v>
      </c>
      <c r="E617" s="139" t="s">
        <v>304</v>
      </c>
      <c r="F617" s="778" t="s">
        <v>121</v>
      </c>
      <c r="G617" s="779" t="s">
        <v>98</v>
      </c>
      <c r="H617" s="779" t="s">
        <v>96</v>
      </c>
      <c r="I617" s="780" t="s">
        <v>97</v>
      </c>
      <c r="J617" s="139"/>
      <c r="K617" s="151">
        <f t="shared" si="175"/>
        <v>2706.7</v>
      </c>
      <c r="L617" s="151">
        <f t="shared" si="175"/>
        <v>45</v>
      </c>
      <c r="M617" s="151">
        <f t="shared" si="175"/>
        <v>2751.7</v>
      </c>
    </row>
    <row r="618" spans="1:13" s="153" customFormat="1" ht="93.75" hidden="1">
      <c r="A618" s="141"/>
      <c r="B618" s="149" t="s">
        <v>395</v>
      </c>
      <c r="C618" s="150" t="s">
        <v>394</v>
      </c>
      <c r="D618" s="139" t="s">
        <v>304</v>
      </c>
      <c r="E618" s="139" t="s">
        <v>304</v>
      </c>
      <c r="F618" s="778" t="s">
        <v>121</v>
      </c>
      <c r="G618" s="779" t="s">
        <v>98</v>
      </c>
      <c r="H618" s="779" t="s">
        <v>90</v>
      </c>
      <c r="I618" s="780" t="s">
        <v>97</v>
      </c>
      <c r="J618" s="139"/>
      <c r="K618" s="151">
        <f>K619+K622</f>
        <v>2706.7</v>
      </c>
      <c r="L618" s="151">
        <f>L619+L622</f>
        <v>45</v>
      </c>
      <c r="M618" s="151">
        <f>M619+M622</f>
        <v>2751.7</v>
      </c>
    </row>
    <row r="619" spans="1:13" s="153" customFormat="1" ht="77.45" hidden="1" customHeight="1">
      <c r="A619" s="141"/>
      <c r="B619" s="724" t="s">
        <v>151</v>
      </c>
      <c r="C619" s="150" t="s">
        <v>394</v>
      </c>
      <c r="D619" s="139" t="s">
        <v>304</v>
      </c>
      <c r="E619" s="139" t="s">
        <v>304</v>
      </c>
      <c r="F619" s="778" t="s">
        <v>121</v>
      </c>
      <c r="G619" s="779" t="s">
        <v>98</v>
      </c>
      <c r="H619" s="779" t="s">
        <v>90</v>
      </c>
      <c r="I619" s="780" t="s">
        <v>153</v>
      </c>
      <c r="J619" s="139"/>
      <c r="K619" s="151">
        <f>K620+K621</f>
        <v>2141.9</v>
      </c>
      <c r="L619" s="151">
        <f>L620+L621</f>
        <v>0</v>
      </c>
      <c r="M619" s="151">
        <f>M620+M621</f>
        <v>2141.9</v>
      </c>
    </row>
    <row r="620" spans="1:13" s="153" customFormat="1" ht="41.45" hidden="1" customHeight="1">
      <c r="A620" s="140"/>
      <c r="B620" s="724" t="s">
        <v>102</v>
      </c>
      <c r="C620" s="150" t="s">
        <v>394</v>
      </c>
      <c r="D620" s="139" t="s">
        <v>304</v>
      </c>
      <c r="E620" s="139" t="s">
        <v>304</v>
      </c>
      <c r="F620" s="778" t="s">
        <v>121</v>
      </c>
      <c r="G620" s="779" t="s">
        <v>98</v>
      </c>
      <c r="H620" s="779" t="s">
        <v>90</v>
      </c>
      <c r="I620" s="780" t="s">
        <v>153</v>
      </c>
      <c r="J620" s="139" t="s">
        <v>103</v>
      </c>
      <c r="K620" s="151">
        <v>2114.5</v>
      </c>
      <c r="L620" s="151">
        <f t="shared" ref="L620:L621" si="176">M620-K620</f>
        <v>0</v>
      </c>
      <c r="M620" s="151">
        <v>2114.5</v>
      </c>
    </row>
    <row r="621" spans="1:13" s="152" customFormat="1" ht="59.45" hidden="1" customHeight="1">
      <c r="A621" s="140"/>
      <c r="B621" s="724" t="s">
        <v>108</v>
      </c>
      <c r="C621" s="150" t="s">
        <v>394</v>
      </c>
      <c r="D621" s="139" t="s">
        <v>304</v>
      </c>
      <c r="E621" s="139" t="s">
        <v>304</v>
      </c>
      <c r="F621" s="778" t="s">
        <v>121</v>
      </c>
      <c r="G621" s="779" t="s">
        <v>98</v>
      </c>
      <c r="H621" s="779" t="s">
        <v>90</v>
      </c>
      <c r="I621" s="780" t="s">
        <v>153</v>
      </c>
      <c r="J621" s="139" t="s">
        <v>109</v>
      </c>
      <c r="K621" s="151">
        <v>27.4</v>
      </c>
      <c r="L621" s="151">
        <f t="shared" si="176"/>
        <v>0</v>
      </c>
      <c r="M621" s="151">
        <v>27.4</v>
      </c>
    </row>
    <row r="622" spans="1:13" s="136" customFormat="1" ht="56.25" hidden="1">
      <c r="A622" s="140"/>
      <c r="B622" s="149" t="s">
        <v>396</v>
      </c>
      <c r="C622" s="150" t="s">
        <v>394</v>
      </c>
      <c r="D622" s="139" t="s">
        <v>304</v>
      </c>
      <c r="E622" s="139" t="s">
        <v>304</v>
      </c>
      <c r="F622" s="778" t="s">
        <v>121</v>
      </c>
      <c r="G622" s="779" t="s">
        <v>98</v>
      </c>
      <c r="H622" s="779" t="s">
        <v>90</v>
      </c>
      <c r="I622" s="780" t="s">
        <v>397</v>
      </c>
      <c r="J622" s="139"/>
      <c r="K622" s="151">
        <f>K623</f>
        <v>564.79999999999995</v>
      </c>
      <c r="L622" s="151">
        <f>L623</f>
        <v>45</v>
      </c>
      <c r="M622" s="151">
        <f>M623</f>
        <v>609.79999999999995</v>
      </c>
    </row>
    <row r="623" spans="1:13" s="136" customFormat="1" ht="54" hidden="1" customHeight="1">
      <c r="A623" s="140"/>
      <c r="B623" s="791" t="s">
        <v>108</v>
      </c>
      <c r="C623" s="785" t="s">
        <v>394</v>
      </c>
      <c r="D623" s="786" t="s">
        <v>304</v>
      </c>
      <c r="E623" s="786" t="s">
        <v>304</v>
      </c>
      <c r="F623" s="787" t="s">
        <v>121</v>
      </c>
      <c r="G623" s="788" t="s">
        <v>98</v>
      </c>
      <c r="H623" s="788" t="s">
        <v>90</v>
      </c>
      <c r="I623" s="789" t="s">
        <v>397</v>
      </c>
      <c r="J623" s="786" t="s">
        <v>109</v>
      </c>
      <c r="K623" s="706">
        <f>397.3+167.5</f>
        <v>564.79999999999995</v>
      </c>
      <c r="L623" s="706">
        <f>M623-K623</f>
        <v>45</v>
      </c>
      <c r="M623" s="706">
        <f>397.3+167.5+45</f>
        <v>609.79999999999995</v>
      </c>
    </row>
    <row r="624" spans="1:13" s="152" customFormat="1" ht="18.75" hidden="1">
      <c r="A624" s="140"/>
      <c r="B624" s="149" t="s">
        <v>261</v>
      </c>
      <c r="C624" s="193" t="s">
        <v>394</v>
      </c>
      <c r="D624" s="139" t="s">
        <v>304</v>
      </c>
      <c r="E624" s="139" t="s">
        <v>139</v>
      </c>
      <c r="F624" s="194"/>
      <c r="G624" s="195"/>
      <c r="H624" s="195"/>
      <c r="I624" s="196"/>
      <c r="J624" s="197"/>
      <c r="K624" s="151">
        <f t="shared" ref="K624:M627" si="177">K625</f>
        <v>2873.5</v>
      </c>
      <c r="L624" s="151">
        <f t="shared" si="177"/>
        <v>55</v>
      </c>
      <c r="M624" s="151">
        <f t="shared" si="177"/>
        <v>2928.5</v>
      </c>
    </row>
    <row r="625" spans="1:13" s="152" customFormat="1" ht="56.25" hidden="1">
      <c r="A625" s="140"/>
      <c r="B625" s="149" t="s">
        <v>301</v>
      </c>
      <c r="C625" s="193" t="s">
        <v>394</v>
      </c>
      <c r="D625" s="139" t="s">
        <v>304</v>
      </c>
      <c r="E625" s="139" t="s">
        <v>139</v>
      </c>
      <c r="F625" s="194" t="s">
        <v>121</v>
      </c>
      <c r="G625" s="195" t="s">
        <v>95</v>
      </c>
      <c r="H625" s="195" t="s">
        <v>96</v>
      </c>
      <c r="I625" s="196" t="s">
        <v>97</v>
      </c>
      <c r="J625" s="197"/>
      <c r="K625" s="151">
        <f t="shared" si="177"/>
        <v>2873.5</v>
      </c>
      <c r="L625" s="151">
        <f t="shared" si="177"/>
        <v>55</v>
      </c>
      <c r="M625" s="151">
        <f t="shared" si="177"/>
        <v>2928.5</v>
      </c>
    </row>
    <row r="626" spans="1:13" s="136" customFormat="1" ht="37.5" hidden="1">
      <c r="A626" s="140"/>
      <c r="B626" s="149" t="s">
        <v>300</v>
      </c>
      <c r="C626" s="150" t="s">
        <v>394</v>
      </c>
      <c r="D626" s="139" t="s">
        <v>304</v>
      </c>
      <c r="E626" s="139" t="s">
        <v>139</v>
      </c>
      <c r="F626" s="778" t="s">
        <v>121</v>
      </c>
      <c r="G626" s="779" t="s">
        <v>150</v>
      </c>
      <c r="H626" s="779" t="s">
        <v>96</v>
      </c>
      <c r="I626" s="780" t="s">
        <v>97</v>
      </c>
      <c r="J626" s="139"/>
      <c r="K626" s="151">
        <f t="shared" si="177"/>
        <v>2873.5</v>
      </c>
      <c r="L626" s="151">
        <f t="shared" si="177"/>
        <v>55</v>
      </c>
      <c r="M626" s="151">
        <f t="shared" si="177"/>
        <v>2928.5</v>
      </c>
    </row>
    <row r="627" spans="1:13" s="153" customFormat="1" ht="37.5" hidden="1">
      <c r="A627" s="140"/>
      <c r="B627" s="149" t="s">
        <v>389</v>
      </c>
      <c r="C627" s="150" t="s">
        <v>394</v>
      </c>
      <c r="D627" s="139" t="s">
        <v>304</v>
      </c>
      <c r="E627" s="139" t="s">
        <v>139</v>
      </c>
      <c r="F627" s="778" t="s">
        <v>121</v>
      </c>
      <c r="G627" s="779" t="s">
        <v>150</v>
      </c>
      <c r="H627" s="779" t="s">
        <v>90</v>
      </c>
      <c r="I627" s="780" t="s">
        <v>97</v>
      </c>
      <c r="J627" s="139"/>
      <c r="K627" s="151">
        <f t="shared" si="177"/>
        <v>2873.5</v>
      </c>
      <c r="L627" s="151">
        <f t="shared" si="177"/>
        <v>55</v>
      </c>
      <c r="M627" s="151">
        <f t="shared" si="177"/>
        <v>2928.5</v>
      </c>
    </row>
    <row r="628" spans="1:13" s="152" customFormat="1" ht="37.5" hidden="1">
      <c r="A628" s="140"/>
      <c r="B628" s="149" t="s">
        <v>100</v>
      </c>
      <c r="C628" s="150" t="s">
        <v>394</v>
      </c>
      <c r="D628" s="139" t="s">
        <v>304</v>
      </c>
      <c r="E628" s="139" t="s">
        <v>139</v>
      </c>
      <c r="F628" s="778" t="s">
        <v>121</v>
      </c>
      <c r="G628" s="779" t="s">
        <v>150</v>
      </c>
      <c r="H628" s="779" t="s">
        <v>90</v>
      </c>
      <c r="I628" s="780" t="s">
        <v>101</v>
      </c>
      <c r="J628" s="139"/>
      <c r="K628" s="151">
        <f>K629+K630+K631</f>
        <v>2873.5</v>
      </c>
      <c r="L628" s="151">
        <f>L629+L630+L631</f>
        <v>55</v>
      </c>
      <c r="M628" s="151">
        <f>M629+M630+M631</f>
        <v>2928.5</v>
      </c>
    </row>
    <row r="629" spans="1:13" s="152" customFormat="1" ht="111" hidden="1" customHeight="1">
      <c r="A629" s="140"/>
      <c r="B629" s="149" t="s">
        <v>102</v>
      </c>
      <c r="C629" s="150" t="s">
        <v>394</v>
      </c>
      <c r="D629" s="139" t="s">
        <v>304</v>
      </c>
      <c r="E629" s="139" t="s">
        <v>139</v>
      </c>
      <c r="F629" s="778" t="s">
        <v>121</v>
      </c>
      <c r="G629" s="779" t="s">
        <v>150</v>
      </c>
      <c r="H629" s="779" t="s">
        <v>90</v>
      </c>
      <c r="I629" s="780" t="s">
        <v>101</v>
      </c>
      <c r="J629" s="139" t="s">
        <v>103</v>
      </c>
      <c r="K629" s="151">
        <v>2534.1</v>
      </c>
      <c r="L629" s="151">
        <f t="shared" ref="L629:L631" si="178">M629-K629</f>
        <v>0</v>
      </c>
      <c r="M629" s="151">
        <v>2534.1</v>
      </c>
    </row>
    <row r="630" spans="1:13" s="152" customFormat="1" ht="57.6" hidden="1" customHeight="1">
      <c r="A630" s="140"/>
      <c r="B630" s="791" t="s">
        <v>108</v>
      </c>
      <c r="C630" s="810" t="s">
        <v>394</v>
      </c>
      <c r="D630" s="811" t="s">
        <v>304</v>
      </c>
      <c r="E630" s="811" t="s">
        <v>139</v>
      </c>
      <c r="F630" s="787" t="s">
        <v>121</v>
      </c>
      <c r="G630" s="788" t="s">
        <v>150</v>
      </c>
      <c r="H630" s="788" t="s">
        <v>90</v>
      </c>
      <c r="I630" s="789" t="s">
        <v>101</v>
      </c>
      <c r="J630" s="786" t="s">
        <v>109</v>
      </c>
      <c r="K630" s="706">
        <v>335.8</v>
      </c>
      <c r="L630" s="706">
        <f t="shared" si="178"/>
        <v>55</v>
      </c>
      <c r="M630" s="706">
        <f>335.8+55</f>
        <v>390.8</v>
      </c>
    </row>
    <row r="631" spans="1:13" s="152" customFormat="1" ht="18.75" hidden="1">
      <c r="A631" s="140"/>
      <c r="B631" s="149" t="s">
        <v>110</v>
      </c>
      <c r="C631" s="188" t="s">
        <v>394</v>
      </c>
      <c r="D631" s="189" t="s">
        <v>304</v>
      </c>
      <c r="E631" s="189" t="s">
        <v>139</v>
      </c>
      <c r="F631" s="778" t="s">
        <v>121</v>
      </c>
      <c r="G631" s="779" t="s">
        <v>150</v>
      </c>
      <c r="H631" s="779" t="s">
        <v>90</v>
      </c>
      <c r="I631" s="780" t="s">
        <v>101</v>
      </c>
      <c r="J631" s="139" t="s">
        <v>111</v>
      </c>
      <c r="K631" s="151">
        <v>3.6</v>
      </c>
      <c r="L631" s="151">
        <f t="shared" si="178"/>
        <v>0</v>
      </c>
      <c r="M631" s="151">
        <v>3.6</v>
      </c>
    </row>
    <row r="632" spans="1:13" ht="18.75" hidden="1">
      <c r="A632" s="140"/>
      <c r="B632" s="149"/>
      <c r="C632" s="188"/>
      <c r="D632" s="189"/>
      <c r="E632" s="189"/>
      <c r="F632" s="175"/>
      <c r="G632" s="182"/>
      <c r="H632" s="182"/>
      <c r="I632" s="190"/>
      <c r="J632" s="189"/>
      <c r="K632" s="151"/>
      <c r="L632" s="151"/>
      <c r="M632" s="151"/>
    </row>
    <row r="633" spans="1:13" s="148" customFormat="1" ht="56.25" hidden="1">
      <c r="A633" s="141">
        <v>9</v>
      </c>
      <c r="B633" s="142" t="s">
        <v>60</v>
      </c>
      <c r="C633" s="143" t="s">
        <v>406</v>
      </c>
      <c r="D633" s="144"/>
      <c r="E633" s="144"/>
      <c r="F633" s="145"/>
      <c r="G633" s="146"/>
      <c r="H633" s="146"/>
      <c r="I633" s="147"/>
      <c r="J633" s="144"/>
      <c r="K633" s="228">
        <f>K634+K641</f>
        <v>66569.8</v>
      </c>
      <c r="L633" s="228">
        <f>L634+L641</f>
        <v>0</v>
      </c>
      <c r="M633" s="228">
        <f>M634+M641</f>
        <v>66569.8</v>
      </c>
    </row>
    <row r="634" spans="1:13" s="152" customFormat="1" ht="18.75" hidden="1">
      <c r="A634" s="140"/>
      <c r="B634" s="157" t="s">
        <v>254</v>
      </c>
      <c r="C634" s="150" t="s">
        <v>406</v>
      </c>
      <c r="D634" s="139" t="s">
        <v>304</v>
      </c>
      <c r="E634" s="139"/>
      <c r="F634" s="778"/>
      <c r="G634" s="779"/>
      <c r="H634" s="779"/>
      <c r="I634" s="780"/>
      <c r="J634" s="139"/>
      <c r="K634" s="151">
        <f t="shared" ref="K634:M639" si="179">K635</f>
        <v>15.6</v>
      </c>
      <c r="L634" s="151">
        <f t="shared" si="179"/>
        <v>0</v>
      </c>
      <c r="M634" s="151">
        <f t="shared" si="179"/>
        <v>15.6</v>
      </c>
    </row>
    <row r="635" spans="1:13" s="153" customFormat="1" ht="18.75" hidden="1">
      <c r="A635" s="140"/>
      <c r="B635" s="149" t="s">
        <v>518</v>
      </c>
      <c r="C635" s="150" t="s">
        <v>406</v>
      </c>
      <c r="D635" s="139" t="s">
        <v>304</v>
      </c>
      <c r="E635" s="139" t="s">
        <v>304</v>
      </c>
      <c r="F635" s="778"/>
      <c r="G635" s="779"/>
      <c r="H635" s="779"/>
      <c r="I635" s="780"/>
      <c r="J635" s="139"/>
      <c r="K635" s="151">
        <f t="shared" si="179"/>
        <v>15.6</v>
      </c>
      <c r="L635" s="151">
        <f t="shared" si="179"/>
        <v>0</v>
      </c>
      <c r="M635" s="151">
        <f t="shared" si="179"/>
        <v>15.6</v>
      </c>
    </row>
    <row r="636" spans="1:13" s="153" customFormat="1" ht="56.25" hidden="1">
      <c r="A636" s="140"/>
      <c r="B636" s="149" t="s">
        <v>407</v>
      </c>
      <c r="C636" s="150" t="s">
        <v>406</v>
      </c>
      <c r="D636" s="139" t="s">
        <v>304</v>
      </c>
      <c r="E636" s="139" t="s">
        <v>304</v>
      </c>
      <c r="F636" s="778" t="s">
        <v>139</v>
      </c>
      <c r="G636" s="779" t="s">
        <v>95</v>
      </c>
      <c r="H636" s="779" t="s">
        <v>96</v>
      </c>
      <c r="I636" s="780" t="s">
        <v>97</v>
      </c>
      <c r="J636" s="139"/>
      <c r="K636" s="151">
        <f t="shared" si="179"/>
        <v>15.6</v>
      </c>
      <c r="L636" s="151">
        <f t="shared" si="179"/>
        <v>0</v>
      </c>
      <c r="M636" s="151">
        <f t="shared" si="179"/>
        <v>15.6</v>
      </c>
    </row>
    <row r="637" spans="1:13" s="153" customFormat="1" ht="37.5" hidden="1">
      <c r="A637" s="140"/>
      <c r="B637" s="149" t="s">
        <v>491</v>
      </c>
      <c r="C637" s="150" t="s">
        <v>406</v>
      </c>
      <c r="D637" s="139" t="s">
        <v>304</v>
      </c>
      <c r="E637" s="139" t="s">
        <v>304</v>
      </c>
      <c r="F637" s="778" t="s">
        <v>139</v>
      </c>
      <c r="G637" s="779" t="s">
        <v>98</v>
      </c>
      <c r="H637" s="779" t="s">
        <v>96</v>
      </c>
      <c r="I637" s="780" t="s">
        <v>97</v>
      </c>
      <c r="J637" s="139"/>
      <c r="K637" s="151">
        <f t="shared" si="179"/>
        <v>15.6</v>
      </c>
      <c r="L637" s="151">
        <f t="shared" si="179"/>
        <v>0</v>
      </c>
      <c r="M637" s="151">
        <f t="shared" si="179"/>
        <v>15.6</v>
      </c>
    </row>
    <row r="638" spans="1:13" s="153" customFormat="1" ht="37.5" hidden="1">
      <c r="A638" s="140"/>
      <c r="B638" s="149" t="s">
        <v>392</v>
      </c>
      <c r="C638" s="150" t="s">
        <v>406</v>
      </c>
      <c r="D638" s="139" t="s">
        <v>304</v>
      </c>
      <c r="E638" s="139" t="s">
        <v>304</v>
      </c>
      <c r="F638" s="778" t="s">
        <v>139</v>
      </c>
      <c r="G638" s="779" t="s">
        <v>98</v>
      </c>
      <c r="H638" s="779" t="s">
        <v>90</v>
      </c>
      <c r="I638" s="780" t="s">
        <v>97</v>
      </c>
      <c r="J638" s="139"/>
      <c r="K638" s="151">
        <f t="shared" si="179"/>
        <v>15.6</v>
      </c>
      <c r="L638" s="151">
        <f t="shared" si="179"/>
        <v>0</v>
      </c>
      <c r="M638" s="151">
        <f t="shared" si="179"/>
        <v>15.6</v>
      </c>
    </row>
    <row r="639" spans="1:13" s="153" customFormat="1" ht="168.75" hidden="1">
      <c r="A639" s="140"/>
      <c r="B639" s="198" t="s">
        <v>534</v>
      </c>
      <c r="C639" s="150" t="s">
        <v>406</v>
      </c>
      <c r="D639" s="139" t="s">
        <v>304</v>
      </c>
      <c r="E639" s="139" t="s">
        <v>304</v>
      </c>
      <c r="F639" s="778" t="s">
        <v>139</v>
      </c>
      <c r="G639" s="779" t="s">
        <v>98</v>
      </c>
      <c r="H639" s="779" t="s">
        <v>90</v>
      </c>
      <c r="I639" s="780" t="s">
        <v>408</v>
      </c>
      <c r="J639" s="139"/>
      <c r="K639" s="151">
        <f t="shared" si="179"/>
        <v>15.6</v>
      </c>
      <c r="L639" s="151">
        <f t="shared" si="179"/>
        <v>0</v>
      </c>
      <c r="M639" s="151">
        <f t="shared" si="179"/>
        <v>15.6</v>
      </c>
    </row>
    <row r="640" spans="1:13" s="153" customFormat="1" ht="37.5" hidden="1">
      <c r="A640" s="140"/>
      <c r="B640" s="158" t="s">
        <v>183</v>
      </c>
      <c r="C640" s="150" t="s">
        <v>406</v>
      </c>
      <c r="D640" s="139" t="s">
        <v>304</v>
      </c>
      <c r="E640" s="139" t="s">
        <v>304</v>
      </c>
      <c r="F640" s="778" t="s">
        <v>139</v>
      </c>
      <c r="G640" s="779" t="s">
        <v>98</v>
      </c>
      <c r="H640" s="779" t="s">
        <v>90</v>
      </c>
      <c r="I640" s="780" t="s">
        <v>408</v>
      </c>
      <c r="J640" s="139" t="s">
        <v>184</v>
      </c>
      <c r="K640" s="151">
        <v>15.6</v>
      </c>
      <c r="L640" s="151">
        <f>M640-K640</f>
        <v>0</v>
      </c>
      <c r="M640" s="151">
        <v>15.6</v>
      </c>
    </row>
    <row r="641" spans="1:13" s="152" customFormat="1" ht="18.75" hidden="1">
      <c r="A641" s="140"/>
      <c r="B641" s="157" t="s">
        <v>182</v>
      </c>
      <c r="C641" s="150" t="s">
        <v>406</v>
      </c>
      <c r="D641" s="139" t="s">
        <v>167</v>
      </c>
      <c r="E641" s="139"/>
      <c r="F641" s="778"/>
      <c r="G641" s="779"/>
      <c r="H641" s="779"/>
      <c r="I641" s="780"/>
      <c r="J641" s="139"/>
      <c r="K641" s="151">
        <f t="shared" ref="K641" si="180">K642+K663</f>
        <v>66554.2</v>
      </c>
      <c r="L641" s="151">
        <f t="shared" ref="L641:M641" si="181">L642+L663</f>
        <v>0</v>
      </c>
      <c r="M641" s="151">
        <f t="shared" si="181"/>
        <v>66554.2</v>
      </c>
    </row>
    <row r="642" spans="1:13" s="152" customFormat="1" ht="18.75" hidden="1">
      <c r="A642" s="140"/>
      <c r="B642" s="149" t="s">
        <v>272</v>
      </c>
      <c r="C642" s="150" t="s">
        <v>406</v>
      </c>
      <c r="D642" s="139" t="s">
        <v>167</v>
      </c>
      <c r="E642" s="139" t="s">
        <v>105</v>
      </c>
      <c r="F642" s="778"/>
      <c r="G642" s="779"/>
      <c r="H642" s="779"/>
      <c r="I642" s="780"/>
      <c r="J642" s="139"/>
      <c r="K642" s="151">
        <f t="shared" ref="K642:M642" si="182">K643</f>
        <v>60305.4</v>
      </c>
      <c r="L642" s="151">
        <f t="shared" si="182"/>
        <v>0</v>
      </c>
      <c r="M642" s="151">
        <f t="shared" si="182"/>
        <v>60305.4</v>
      </c>
    </row>
    <row r="643" spans="1:13" s="136" customFormat="1" ht="56.25" hidden="1">
      <c r="A643" s="140"/>
      <c r="B643" s="155" t="s">
        <v>310</v>
      </c>
      <c r="C643" s="150" t="s">
        <v>406</v>
      </c>
      <c r="D643" s="139" t="s">
        <v>167</v>
      </c>
      <c r="E643" s="139" t="s">
        <v>105</v>
      </c>
      <c r="F643" s="778" t="s">
        <v>139</v>
      </c>
      <c r="G643" s="779" t="s">
        <v>95</v>
      </c>
      <c r="H643" s="779" t="s">
        <v>96</v>
      </c>
      <c r="I643" s="780" t="s">
        <v>97</v>
      </c>
      <c r="J643" s="139"/>
      <c r="K643" s="151">
        <f t="shared" ref="K643:M643" si="183">K644</f>
        <v>60305.4</v>
      </c>
      <c r="L643" s="151">
        <f t="shared" si="183"/>
        <v>0</v>
      </c>
      <c r="M643" s="151">
        <f t="shared" si="183"/>
        <v>60305.4</v>
      </c>
    </row>
    <row r="644" spans="1:13" s="136" customFormat="1" ht="37.5" hidden="1">
      <c r="A644" s="140"/>
      <c r="B644" s="149" t="s">
        <v>491</v>
      </c>
      <c r="C644" s="150" t="s">
        <v>406</v>
      </c>
      <c r="D644" s="139" t="s">
        <v>167</v>
      </c>
      <c r="E644" s="139" t="s">
        <v>105</v>
      </c>
      <c r="F644" s="778" t="s">
        <v>139</v>
      </c>
      <c r="G644" s="779" t="s">
        <v>98</v>
      </c>
      <c r="H644" s="779" t="s">
        <v>96</v>
      </c>
      <c r="I644" s="780" t="s">
        <v>97</v>
      </c>
      <c r="J644" s="139"/>
      <c r="K644" s="151">
        <f t="shared" ref="K644" si="184">K645+K658</f>
        <v>60305.4</v>
      </c>
      <c r="L644" s="151">
        <f t="shared" ref="L644:M644" si="185">L645+L658</f>
        <v>0</v>
      </c>
      <c r="M644" s="151">
        <f t="shared" si="185"/>
        <v>60305.4</v>
      </c>
    </row>
    <row r="645" spans="1:13" s="153" customFormat="1" ht="37.5" hidden="1">
      <c r="A645" s="140"/>
      <c r="B645" s="149" t="s">
        <v>392</v>
      </c>
      <c r="C645" s="150" t="s">
        <v>406</v>
      </c>
      <c r="D645" s="139" t="s">
        <v>167</v>
      </c>
      <c r="E645" s="139" t="s">
        <v>105</v>
      </c>
      <c r="F645" s="778" t="s">
        <v>139</v>
      </c>
      <c r="G645" s="779" t="s">
        <v>98</v>
      </c>
      <c r="H645" s="779" t="s">
        <v>90</v>
      </c>
      <c r="I645" s="780" t="s">
        <v>97</v>
      </c>
      <c r="J645" s="139"/>
      <c r="K645" s="151">
        <f t="shared" ref="K645" si="186">K646+K649+K652+K655</f>
        <v>60135.200000000004</v>
      </c>
      <c r="L645" s="151">
        <f t="shared" ref="L645:M645" si="187">L646+L649+L652+L655</f>
        <v>0</v>
      </c>
      <c r="M645" s="151">
        <f t="shared" si="187"/>
        <v>60135.200000000004</v>
      </c>
    </row>
    <row r="646" spans="1:13" s="153" customFormat="1" ht="168.75" hidden="1">
      <c r="A646" s="140"/>
      <c r="B646" s="201" t="s">
        <v>535</v>
      </c>
      <c r="C646" s="150" t="s">
        <v>406</v>
      </c>
      <c r="D646" s="139" t="s">
        <v>167</v>
      </c>
      <c r="E646" s="139" t="s">
        <v>105</v>
      </c>
      <c r="F646" s="778" t="s">
        <v>139</v>
      </c>
      <c r="G646" s="779" t="s">
        <v>98</v>
      </c>
      <c r="H646" s="779" t="s">
        <v>90</v>
      </c>
      <c r="I646" s="780" t="s">
        <v>409</v>
      </c>
      <c r="J646" s="139"/>
      <c r="K646" s="151">
        <f t="shared" ref="K646" si="188">SUM(K647:K648)</f>
        <v>33015.800000000003</v>
      </c>
      <c r="L646" s="151">
        <f t="shared" ref="L646:M646" si="189">SUM(L647:L648)</f>
        <v>0</v>
      </c>
      <c r="M646" s="151">
        <f t="shared" si="189"/>
        <v>33015.800000000003</v>
      </c>
    </row>
    <row r="647" spans="1:13" s="153" customFormat="1" ht="53.45" hidden="1" customHeight="1">
      <c r="A647" s="140"/>
      <c r="B647" s="149" t="s">
        <v>108</v>
      </c>
      <c r="C647" s="150" t="s">
        <v>406</v>
      </c>
      <c r="D647" s="139" t="s">
        <v>167</v>
      </c>
      <c r="E647" s="139" t="s">
        <v>105</v>
      </c>
      <c r="F647" s="778" t="s">
        <v>139</v>
      </c>
      <c r="G647" s="779" t="s">
        <v>98</v>
      </c>
      <c r="H647" s="779" t="s">
        <v>90</v>
      </c>
      <c r="I647" s="780" t="s">
        <v>409</v>
      </c>
      <c r="J647" s="139" t="s">
        <v>109</v>
      </c>
      <c r="K647" s="151">
        <v>164.3</v>
      </c>
      <c r="L647" s="151">
        <f t="shared" ref="L647:L648" si="190">M647-K647</f>
        <v>0</v>
      </c>
      <c r="M647" s="151">
        <v>164.3</v>
      </c>
    </row>
    <row r="648" spans="1:13" s="153" customFormat="1" ht="37.5" hidden="1">
      <c r="A648" s="140"/>
      <c r="B648" s="149" t="s">
        <v>183</v>
      </c>
      <c r="C648" s="150" t="s">
        <v>406</v>
      </c>
      <c r="D648" s="139" t="s">
        <v>167</v>
      </c>
      <c r="E648" s="139" t="s">
        <v>105</v>
      </c>
      <c r="F648" s="778" t="s">
        <v>139</v>
      </c>
      <c r="G648" s="779" t="s">
        <v>98</v>
      </c>
      <c r="H648" s="779" t="s">
        <v>90</v>
      </c>
      <c r="I648" s="780" t="s">
        <v>409</v>
      </c>
      <c r="J648" s="139" t="s">
        <v>184</v>
      </c>
      <c r="K648" s="151">
        <v>32851.5</v>
      </c>
      <c r="L648" s="151">
        <f t="shared" si="190"/>
        <v>0</v>
      </c>
      <c r="M648" s="151">
        <v>32851.5</v>
      </c>
    </row>
    <row r="649" spans="1:13" s="153" customFormat="1" ht="93.75" hidden="1">
      <c r="A649" s="140"/>
      <c r="B649" s="149" t="s">
        <v>536</v>
      </c>
      <c r="C649" s="150" t="s">
        <v>406</v>
      </c>
      <c r="D649" s="139" t="s">
        <v>167</v>
      </c>
      <c r="E649" s="139" t="s">
        <v>105</v>
      </c>
      <c r="F649" s="778" t="s">
        <v>139</v>
      </c>
      <c r="G649" s="779" t="s">
        <v>98</v>
      </c>
      <c r="H649" s="779" t="s">
        <v>90</v>
      </c>
      <c r="I649" s="780" t="s">
        <v>410</v>
      </c>
      <c r="J649" s="139"/>
      <c r="K649" s="151">
        <f>SUM(K650:K651)</f>
        <v>26177</v>
      </c>
      <c r="L649" s="151">
        <f>SUM(L650:L651)</f>
        <v>0</v>
      </c>
      <c r="M649" s="151">
        <f>SUM(M650:M651)</f>
        <v>26177</v>
      </c>
    </row>
    <row r="650" spans="1:13" s="153" customFormat="1" ht="63" hidden="1" customHeight="1">
      <c r="A650" s="140"/>
      <c r="B650" s="149" t="s">
        <v>108</v>
      </c>
      <c r="C650" s="150" t="s">
        <v>406</v>
      </c>
      <c r="D650" s="139" t="s">
        <v>167</v>
      </c>
      <c r="E650" s="139" t="s">
        <v>105</v>
      </c>
      <c r="F650" s="778" t="s">
        <v>139</v>
      </c>
      <c r="G650" s="779" t="s">
        <v>98</v>
      </c>
      <c r="H650" s="779" t="s">
        <v>90</v>
      </c>
      <c r="I650" s="780" t="s">
        <v>410</v>
      </c>
      <c r="J650" s="139" t="s">
        <v>109</v>
      </c>
      <c r="K650" s="151">
        <v>130.19999999999999</v>
      </c>
      <c r="L650" s="151">
        <f t="shared" ref="L650:L651" si="191">M650-K650</f>
        <v>0</v>
      </c>
      <c r="M650" s="151">
        <v>130.19999999999999</v>
      </c>
    </row>
    <row r="651" spans="1:13" s="153" customFormat="1" ht="37.5" hidden="1">
      <c r="A651" s="140"/>
      <c r="B651" s="149" t="s">
        <v>183</v>
      </c>
      <c r="C651" s="150" t="s">
        <v>406</v>
      </c>
      <c r="D651" s="139" t="s">
        <v>167</v>
      </c>
      <c r="E651" s="139" t="s">
        <v>105</v>
      </c>
      <c r="F651" s="778" t="s">
        <v>139</v>
      </c>
      <c r="G651" s="779" t="s">
        <v>98</v>
      </c>
      <c r="H651" s="779" t="s">
        <v>90</v>
      </c>
      <c r="I651" s="780" t="s">
        <v>410</v>
      </c>
      <c r="J651" s="139" t="s">
        <v>184</v>
      </c>
      <c r="K651" s="151">
        <v>26046.799999999999</v>
      </c>
      <c r="L651" s="151">
        <f t="shared" si="191"/>
        <v>0</v>
      </c>
      <c r="M651" s="151">
        <v>26046.799999999999</v>
      </c>
    </row>
    <row r="652" spans="1:13" s="153" customFormat="1" ht="93.75" hidden="1">
      <c r="A652" s="140"/>
      <c r="B652" s="149" t="s">
        <v>537</v>
      </c>
      <c r="C652" s="150" t="s">
        <v>406</v>
      </c>
      <c r="D652" s="139" t="s">
        <v>167</v>
      </c>
      <c r="E652" s="139" t="s">
        <v>105</v>
      </c>
      <c r="F652" s="778" t="s">
        <v>139</v>
      </c>
      <c r="G652" s="779" t="s">
        <v>98</v>
      </c>
      <c r="H652" s="779" t="s">
        <v>90</v>
      </c>
      <c r="I652" s="780" t="s">
        <v>411</v>
      </c>
      <c r="J652" s="139"/>
      <c r="K652" s="151">
        <f>SUM(K653:K654)</f>
        <v>449.4</v>
      </c>
      <c r="L652" s="151">
        <f>SUM(L653:L654)</f>
        <v>0</v>
      </c>
      <c r="M652" s="151">
        <f>SUM(M653:M654)</f>
        <v>449.4</v>
      </c>
    </row>
    <row r="653" spans="1:13" s="153" customFormat="1" ht="52.9" hidden="1" customHeight="1">
      <c r="A653" s="140"/>
      <c r="B653" s="149" t="s">
        <v>108</v>
      </c>
      <c r="C653" s="150" t="s">
        <v>406</v>
      </c>
      <c r="D653" s="139" t="s">
        <v>167</v>
      </c>
      <c r="E653" s="139" t="s">
        <v>105</v>
      </c>
      <c r="F653" s="778" t="s">
        <v>139</v>
      </c>
      <c r="G653" s="779" t="s">
        <v>98</v>
      </c>
      <c r="H653" s="779" t="s">
        <v>90</v>
      </c>
      <c r="I653" s="780" t="s">
        <v>411</v>
      </c>
      <c r="J653" s="139" t="s">
        <v>109</v>
      </c>
      <c r="K653" s="151">
        <v>2.2000000000000002</v>
      </c>
      <c r="L653" s="151">
        <f t="shared" ref="L653:L654" si="192">M653-K653</f>
        <v>0</v>
      </c>
      <c r="M653" s="151">
        <v>2.2000000000000002</v>
      </c>
    </row>
    <row r="654" spans="1:13" s="153" customFormat="1" ht="37.5" hidden="1">
      <c r="A654" s="140"/>
      <c r="B654" s="149" t="s">
        <v>183</v>
      </c>
      <c r="C654" s="150" t="s">
        <v>406</v>
      </c>
      <c r="D654" s="139" t="s">
        <v>167</v>
      </c>
      <c r="E654" s="139" t="s">
        <v>105</v>
      </c>
      <c r="F654" s="778" t="s">
        <v>139</v>
      </c>
      <c r="G654" s="779" t="s">
        <v>98</v>
      </c>
      <c r="H654" s="779" t="s">
        <v>90</v>
      </c>
      <c r="I654" s="780" t="s">
        <v>411</v>
      </c>
      <c r="J654" s="139" t="s">
        <v>184</v>
      </c>
      <c r="K654" s="151">
        <v>447.2</v>
      </c>
      <c r="L654" s="151">
        <f t="shared" si="192"/>
        <v>0</v>
      </c>
      <c r="M654" s="151">
        <v>447.2</v>
      </c>
    </row>
    <row r="655" spans="1:13" s="153" customFormat="1" ht="131.25" hidden="1">
      <c r="A655" s="140"/>
      <c r="B655" s="149" t="s">
        <v>555</v>
      </c>
      <c r="C655" s="150" t="s">
        <v>406</v>
      </c>
      <c r="D655" s="139" t="s">
        <v>167</v>
      </c>
      <c r="E655" s="139" t="s">
        <v>105</v>
      </c>
      <c r="F655" s="778" t="s">
        <v>139</v>
      </c>
      <c r="G655" s="779" t="s">
        <v>98</v>
      </c>
      <c r="H655" s="779" t="s">
        <v>90</v>
      </c>
      <c r="I655" s="780" t="s">
        <v>412</v>
      </c>
      <c r="J655" s="139"/>
      <c r="K655" s="151">
        <f>SUM(K656:K657)</f>
        <v>493</v>
      </c>
      <c r="L655" s="151">
        <f>SUM(L656:L657)</f>
        <v>0</v>
      </c>
      <c r="M655" s="151">
        <f>SUM(M656:M657)</f>
        <v>493</v>
      </c>
    </row>
    <row r="656" spans="1:13" s="153" customFormat="1" ht="48" hidden="1" customHeight="1">
      <c r="A656" s="140"/>
      <c r="B656" s="149" t="s">
        <v>108</v>
      </c>
      <c r="C656" s="150" t="s">
        <v>406</v>
      </c>
      <c r="D656" s="139" t="s">
        <v>167</v>
      </c>
      <c r="E656" s="139" t="s">
        <v>105</v>
      </c>
      <c r="F656" s="778" t="s">
        <v>139</v>
      </c>
      <c r="G656" s="779" t="s">
        <v>98</v>
      </c>
      <c r="H656" s="779" t="s">
        <v>90</v>
      </c>
      <c r="I656" s="780" t="s">
        <v>412</v>
      </c>
      <c r="J656" s="139" t="s">
        <v>109</v>
      </c>
      <c r="K656" s="151">
        <v>2.5</v>
      </c>
      <c r="L656" s="151">
        <f t="shared" ref="L656:L657" si="193">M656-K656</f>
        <v>0</v>
      </c>
      <c r="M656" s="151">
        <v>2.5</v>
      </c>
    </row>
    <row r="657" spans="1:13" s="153" customFormat="1" ht="37.5" hidden="1">
      <c r="A657" s="140"/>
      <c r="B657" s="149" t="s">
        <v>183</v>
      </c>
      <c r="C657" s="150" t="s">
        <v>406</v>
      </c>
      <c r="D657" s="139" t="s">
        <v>167</v>
      </c>
      <c r="E657" s="139" t="s">
        <v>105</v>
      </c>
      <c r="F657" s="778" t="s">
        <v>139</v>
      </c>
      <c r="G657" s="779" t="s">
        <v>98</v>
      </c>
      <c r="H657" s="779" t="s">
        <v>90</v>
      </c>
      <c r="I657" s="780" t="s">
        <v>412</v>
      </c>
      <c r="J657" s="139" t="s">
        <v>184</v>
      </c>
      <c r="K657" s="151">
        <v>490.5</v>
      </c>
      <c r="L657" s="151">
        <f t="shared" si="193"/>
        <v>0</v>
      </c>
      <c r="M657" s="151">
        <v>490.5</v>
      </c>
    </row>
    <row r="658" spans="1:13" s="148" customFormat="1" ht="75" hidden="1" customHeight="1">
      <c r="A658" s="140"/>
      <c r="B658" s="199" t="s">
        <v>421</v>
      </c>
      <c r="C658" s="150" t="s">
        <v>406</v>
      </c>
      <c r="D658" s="139" t="s">
        <v>167</v>
      </c>
      <c r="E658" s="139" t="s">
        <v>105</v>
      </c>
      <c r="F658" s="779" t="s">
        <v>139</v>
      </c>
      <c r="G658" s="779" t="s">
        <v>98</v>
      </c>
      <c r="H658" s="779" t="s">
        <v>92</v>
      </c>
      <c r="I658" s="780" t="s">
        <v>97</v>
      </c>
      <c r="J658" s="139"/>
      <c r="K658" s="151">
        <f t="shared" ref="K658:M658" si="194">K659+K661</f>
        <v>170.2</v>
      </c>
      <c r="L658" s="151">
        <f t="shared" ref="L658" si="195">L659+L661</f>
        <v>0</v>
      </c>
      <c r="M658" s="151">
        <f t="shared" si="194"/>
        <v>170.2</v>
      </c>
    </row>
    <row r="659" spans="1:13" s="148" customFormat="1" ht="206.25" hidden="1">
      <c r="A659" s="140"/>
      <c r="B659" s="200" t="s">
        <v>543</v>
      </c>
      <c r="C659" s="150" t="s">
        <v>406</v>
      </c>
      <c r="D659" s="139" t="s">
        <v>167</v>
      </c>
      <c r="E659" s="139" t="s">
        <v>105</v>
      </c>
      <c r="F659" s="779" t="s">
        <v>139</v>
      </c>
      <c r="G659" s="779" t="s">
        <v>98</v>
      </c>
      <c r="H659" s="779" t="s">
        <v>92</v>
      </c>
      <c r="I659" s="780" t="s">
        <v>544</v>
      </c>
      <c r="J659" s="139"/>
      <c r="K659" s="151">
        <f t="shared" ref="K659:M659" si="196">K660</f>
        <v>5.2</v>
      </c>
      <c r="L659" s="151">
        <f t="shared" si="196"/>
        <v>0</v>
      </c>
      <c r="M659" s="151">
        <f t="shared" si="196"/>
        <v>5.2</v>
      </c>
    </row>
    <row r="660" spans="1:13" s="148" customFormat="1" ht="37.5" hidden="1">
      <c r="A660" s="140"/>
      <c r="B660" s="158" t="s">
        <v>183</v>
      </c>
      <c r="C660" s="150" t="s">
        <v>406</v>
      </c>
      <c r="D660" s="139" t="s">
        <v>167</v>
      </c>
      <c r="E660" s="139" t="s">
        <v>105</v>
      </c>
      <c r="F660" s="779" t="s">
        <v>139</v>
      </c>
      <c r="G660" s="779" t="s">
        <v>98</v>
      </c>
      <c r="H660" s="779" t="s">
        <v>92</v>
      </c>
      <c r="I660" s="780" t="s">
        <v>544</v>
      </c>
      <c r="J660" s="139" t="s">
        <v>184</v>
      </c>
      <c r="K660" s="151">
        <v>5.2</v>
      </c>
      <c r="L660" s="151">
        <f>M660-K660</f>
        <v>0</v>
      </c>
      <c r="M660" s="151">
        <v>5.2</v>
      </c>
    </row>
    <row r="661" spans="1:13" s="148" customFormat="1" ht="318.75" hidden="1">
      <c r="A661" s="140"/>
      <c r="B661" s="200" t="s">
        <v>554</v>
      </c>
      <c r="C661" s="150" t="s">
        <v>406</v>
      </c>
      <c r="D661" s="139" t="s">
        <v>167</v>
      </c>
      <c r="E661" s="139" t="s">
        <v>105</v>
      </c>
      <c r="F661" s="779" t="s">
        <v>139</v>
      </c>
      <c r="G661" s="779" t="s">
        <v>98</v>
      </c>
      <c r="H661" s="779" t="s">
        <v>92</v>
      </c>
      <c r="I661" s="780" t="s">
        <v>545</v>
      </c>
      <c r="J661" s="139"/>
      <c r="K661" s="151">
        <f>K662</f>
        <v>165</v>
      </c>
      <c r="L661" s="151">
        <f>L662</f>
        <v>0</v>
      </c>
      <c r="M661" s="151">
        <f>M662</f>
        <v>165</v>
      </c>
    </row>
    <row r="662" spans="1:13" s="148" customFormat="1" ht="37.5" hidden="1">
      <c r="A662" s="140"/>
      <c r="B662" s="158" t="s">
        <v>183</v>
      </c>
      <c r="C662" s="150" t="s">
        <v>406</v>
      </c>
      <c r="D662" s="139" t="s">
        <v>167</v>
      </c>
      <c r="E662" s="139" t="s">
        <v>105</v>
      </c>
      <c r="F662" s="779" t="s">
        <v>139</v>
      </c>
      <c r="G662" s="779" t="s">
        <v>98</v>
      </c>
      <c r="H662" s="779" t="s">
        <v>92</v>
      </c>
      <c r="I662" s="780" t="s">
        <v>545</v>
      </c>
      <c r="J662" s="139" t="s">
        <v>184</v>
      </c>
      <c r="K662" s="151">
        <f>231-66</f>
        <v>165</v>
      </c>
      <c r="L662" s="151">
        <f>M662-K662</f>
        <v>0</v>
      </c>
      <c r="M662" s="151">
        <f>231-66</f>
        <v>165</v>
      </c>
    </row>
    <row r="663" spans="1:13" s="152" customFormat="1" ht="37.5" hidden="1">
      <c r="A663" s="140"/>
      <c r="B663" s="149" t="s">
        <v>413</v>
      </c>
      <c r="C663" s="150" t="s">
        <v>406</v>
      </c>
      <c r="D663" s="139" t="s">
        <v>167</v>
      </c>
      <c r="E663" s="139" t="s">
        <v>141</v>
      </c>
      <c r="F663" s="778"/>
      <c r="G663" s="779"/>
      <c r="H663" s="779"/>
      <c r="I663" s="780"/>
      <c r="J663" s="139"/>
      <c r="K663" s="151">
        <f t="shared" ref="K663:M665" si="197">K664</f>
        <v>6248.8</v>
      </c>
      <c r="L663" s="151">
        <f t="shared" si="197"/>
        <v>0</v>
      </c>
      <c r="M663" s="151">
        <f t="shared" si="197"/>
        <v>6248.8</v>
      </c>
    </row>
    <row r="664" spans="1:13" s="136" customFormat="1" ht="56.25" hidden="1">
      <c r="A664" s="140"/>
      <c r="B664" s="155" t="s">
        <v>310</v>
      </c>
      <c r="C664" s="150" t="s">
        <v>406</v>
      </c>
      <c r="D664" s="139" t="s">
        <v>167</v>
      </c>
      <c r="E664" s="139" t="s">
        <v>141</v>
      </c>
      <c r="F664" s="778" t="s">
        <v>139</v>
      </c>
      <c r="G664" s="779" t="s">
        <v>95</v>
      </c>
      <c r="H664" s="779" t="s">
        <v>96</v>
      </c>
      <c r="I664" s="780" t="s">
        <v>97</v>
      </c>
      <c r="J664" s="139"/>
      <c r="K664" s="151">
        <f t="shared" si="197"/>
        <v>6248.8</v>
      </c>
      <c r="L664" s="151">
        <f t="shared" si="197"/>
        <v>0</v>
      </c>
      <c r="M664" s="151">
        <f t="shared" si="197"/>
        <v>6248.8</v>
      </c>
    </row>
    <row r="665" spans="1:13" s="136" customFormat="1" ht="37.5" hidden="1">
      <c r="A665" s="140"/>
      <c r="B665" s="149" t="s">
        <v>491</v>
      </c>
      <c r="C665" s="150" t="s">
        <v>406</v>
      </c>
      <c r="D665" s="139" t="s">
        <v>167</v>
      </c>
      <c r="E665" s="139" t="s">
        <v>141</v>
      </c>
      <c r="F665" s="778" t="s">
        <v>139</v>
      </c>
      <c r="G665" s="779" t="s">
        <v>98</v>
      </c>
      <c r="H665" s="779" t="s">
        <v>96</v>
      </c>
      <c r="I665" s="780" t="s">
        <v>97</v>
      </c>
      <c r="J665" s="139"/>
      <c r="K665" s="151">
        <f t="shared" si="197"/>
        <v>6248.8</v>
      </c>
      <c r="L665" s="151">
        <f t="shared" si="197"/>
        <v>0</v>
      </c>
      <c r="M665" s="151">
        <f t="shared" si="197"/>
        <v>6248.8</v>
      </c>
    </row>
    <row r="666" spans="1:13" s="153" customFormat="1" ht="37.5" hidden="1">
      <c r="A666" s="140"/>
      <c r="B666" s="149" t="s">
        <v>309</v>
      </c>
      <c r="C666" s="150" t="s">
        <v>406</v>
      </c>
      <c r="D666" s="139" t="s">
        <v>167</v>
      </c>
      <c r="E666" s="139" t="s">
        <v>141</v>
      </c>
      <c r="F666" s="778" t="s">
        <v>139</v>
      </c>
      <c r="G666" s="779" t="s">
        <v>98</v>
      </c>
      <c r="H666" s="779" t="s">
        <v>119</v>
      </c>
      <c r="I666" s="780" t="s">
        <v>97</v>
      </c>
      <c r="J666" s="139"/>
      <c r="K666" s="151">
        <f t="shared" ref="K666" si="198">K667+K670+K673</f>
        <v>6248.8</v>
      </c>
      <c r="L666" s="151">
        <f t="shared" ref="L666:M666" si="199">L667+L670+L673</f>
        <v>0</v>
      </c>
      <c r="M666" s="151">
        <f t="shared" si="199"/>
        <v>6248.8</v>
      </c>
    </row>
    <row r="667" spans="1:13" s="153" customFormat="1" ht="93.75" hidden="1">
      <c r="A667" s="140"/>
      <c r="B667" s="149" t="s">
        <v>311</v>
      </c>
      <c r="C667" s="150" t="s">
        <v>406</v>
      </c>
      <c r="D667" s="139" t="s">
        <v>167</v>
      </c>
      <c r="E667" s="139" t="s">
        <v>141</v>
      </c>
      <c r="F667" s="778" t="s">
        <v>139</v>
      </c>
      <c r="G667" s="779" t="s">
        <v>98</v>
      </c>
      <c r="H667" s="779" t="s">
        <v>119</v>
      </c>
      <c r="I667" s="780" t="s">
        <v>414</v>
      </c>
      <c r="J667" s="139"/>
      <c r="K667" s="151">
        <f t="shared" ref="K667" si="200">K668+K669</f>
        <v>4784.5</v>
      </c>
      <c r="L667" s="151">
        <f t="shared" ref="L667:M667" si="201">L668+L669</f>
        <v>0</v>
      </c>
      <c r="M667" s="151">
        <f t="shared" si="201"/>
        <v>4784.5</v>
      </c>
    </row>
    <row r="668" spans="1:13" s="153" customFormat="1" ht="106.15" hidden="1" customHeight="1">
      <c r="A668" s="140"/>
      <c r="B668" s="149" t="s">
        <v>102</v>
      </c>
      <c r="C668" s="150" t="s">
        <v>406</v>
      </c>
      <c r="D668" s="139" t="s">
        <v>167</v>
      </c>
      <c r="E668" s="139" t="s">
        <v>141</v>
      </c>
      <c r="F668" s="778" t="s">
        <v>139</v>
      </c>
      <c r="G668" s="779" t="s">
        <v>98</v>
      </c>
      <c r="H668" s="779" t="s">
        <v>119</v>
      </c>
      <c r="I668" s="780" t="s">
        <v>414</v>
      </c>
      <c r="J668" s="139" t="s">
        <v>103</v>
      </c>
      <c r="K668" s="151">
        <f>4413.5+21</f>
        <v>4434.5</v>
      </c>
      <c r="L668" s="151">
        <f t="shared" ref="L668:L669" si="202">M668-K668</f>
        <v>0</v>
      </c>
      <c r="M668" s="151">
        <f>4413.5+21</f>
        <v>4434.5</v>
      </c>
    </row>
    <row r="669" spans="1:13" s="153" customFormat="1" ht="48.6" hidden="1" customHeight="1">
      <c r="A669" s="140"/>
      <c r="B669" s="149" t="s">
        <v>108</v>
      </c>
      <c r="C669" s="150" t="s">
        <v>406</v>
      </c>
      <c r="D669" s="139" t="s">
        <v>167</v>
      </c>
      <c r="E669" s="139" t="s">
        <v>141</v>
      </c>
      <c r="F669" s="202" t="s">
        <v>139</v>
      </c>
      <c r="G669" s="203" t="s">
        <v>98</v>
      </c>
      <c r="H669" s="203" t="s">
        <v>119</v>
      </c>
      <c r="I669" s="204" t="s">
        <v>414</v>
      </c>
      <c r="J669" s="139" t="s">
        <v>109</v>
      </c>
      <c r="K669" s="151">
        <v>350</v>
      </c>
      <c r="L669" s="151">
        <f t="shared" si="202"/>
        <v>0</v>
      </c>
      <c r="M669" s="151">
        <v>350</v>
      </c>
    </row>
    <row r="670" spans="1:13" s="153" customFormat="1" ht="56.25" hidden="1">
      <c r="A670" s="140"/>
      <c r="B670" s="149" t="s">
        <v>601</v>
      </c>
      <c r="C670" s="150" t="s">
        <v>406</v>
      </c>
      <c r="D670" s="139" t="s">
        <v>167</v>
      </c>
      <c r="E670" s="139" t="s">
        <v>141</v>
      </c>
      <c r="F670" s="778" t="s">
        <v>139</v>
      </c>
      <c r="G670" s="779" t="s">
        <v>98</v>
      </c>
      <c r="H670" s="779" t="s">
        <v>119</v>
      </c>
      <c r="I670" s="780" t="s">
        <v>415</v>
      </c>
      <c r="J670" s="139"/>
      <c r="K670" s="151">
        <f>K671+K672</f>
        <v>617.29999999999995</v>
      </c>
      <c r="L670" s="151">
        <f>L671+L672</f>
        <v>0</v>
      </c>
      <c r="M670" s="151">
        <f>M671+M672</f>
        <v>617.29999999999995</v>
      </c>
    </row>
    <row r="671" spans="1:13" s="153" customFormat="1" ht="106.15" hidden="1" customHeight="1">
      <c r="A671" s="140"/>
      <c r="B671" s="149" t="s">
        <v>102</v>
      </c>
      <c r="C671" s="150" t="s">
        <v>406</v>
      </c>
      <c r="D671" s="139" t="s">
        <v>167</v>
      </c>
      <c r="E671" s="139" t="s">
        <v>141</v>
      </c>
      <c r="F671" s="778" t="s">
        <v>139</v>
      </c>
      <c r="G671" s="779" t="s">
        <v>98</v>
      </c>
      <c r="H671" s="779" t="s">
        <v>119</v>
      </c>
      <c r="I671" s="780" t="s">
        <v>415</v>
      </c>
      <c r="J671" s="139" t="s">
        <v>103</v>
      </c>
      <c r="K671" s="151">
        <f>564.3+3</f>
        <v>567.29999999999995</v>
      </c>
      <c r="L671" s="151">
        <f t="shared" ref="L671:L672" si="203">M671-K671</f>
        <v>0</v>
      </c>
      <c r="M671" s="151">
        <f>564.3+3</f>
        <v>567.29999999999995</v>
      </c>
    </row>
    <row r="672" spans="1:13" s="153" customFormat="1" ht="52.9" hidden="1" customHeight="1">
      <c r="A672" s="140"/>
      <c r="B672" s="149" t="s">
        <v>108</v>
      </c>
      <c r="C672" s="150" t="s">
        <v>406</v>
      </c>
      <c r="D672" s="139" t="s">
        <v>167</v>
      </c>
      <c r="E672" s="139" t="s">
        <v>141</v>
      </c>
      <c r="F672" s="778" t="s">
        <v>139</v>
      </c>
      <c r="G672" s="779" t="s">
        <v>98</v>
      </c>
      <c r="H672" s="779" t="s">
        <v>119</v>
      </c>
      <c r="I672" s="780" t="s">
        <v>415</v>
      </c>
      <c r="J672" s="139" t="s">
        <v>109</v>
      </c>
      <c r="K672" s="151">
        <v>50</v>
      </c>
      <c r="L672" s="151">
        <f t="shared" si="203"/>
        <v>0</v>
      </c>
      <c r="M672" s="151">
        <v>50</v>
      </c>
    </row>
    <row r="673" spans="1:13" s="153" customFormat="1" ht="18.75" hidden="1">
      <c r="A673" s="140"/>
      <c r="B673" s="149" t="s">
        <v>312</v>
      </c>
      <c r="C673" s="150" t="s">
        <v>406</v>
      </c>
      <c r="D673" s="139" t="s">
        <v>167</v>
      </c>
      <c r="E673" s="139" t="s">
        <v>141</v>
      </c>
      <c r="F673" s="778" t="s">
        <v>139</v>
      </c>
      <c r="G673" s="779" t="s">
        <v>98</v>
      </c>
      <c r="H673" s="779" t="s">
        <v>119</v>
      </c>
      <c r="I673" s="780" t="s">
        <v>416</v>
      </c>
      <c r="J673" s="139"/>
      <c r="K673" s="151">
        <f>K674+K675</f>
        <v>847</v>
      </c>
      <c r="L673" s="151">
        <f>L674+L675</f>
        <v>0</v>
      </c>
      <c r="M673" s="151">
        <f>M674+M675</f>
        <v>847</v>
      </c>
    </row>
    <row r="674" spans="1:13" s="153" customFormat="1" ht="112.5" hidden="1">
      <c r="A674" s="140"/>
      <c r="B674" s="149" t="s">
        <v>102</v>
      </c>
      <c r="C674" s="150" t="s">
        <v>406</v>
      </c>
      <c r="D674" s="139" t="s">
        <v>167</v>
      </c>
      <c r="E674" s="139" t="s">
        <v>141</v>
      </c>
      <c r="F674" s="778" t="s">
        <v>139</v>
      </c>
      <c r="G674" s="779" t="s">
        <v>98</v>
      </c>
      <c r="H674" s="779" t="s">
        <v>119</v>
      </c>
      <c r="I674" s="780" t="s">
        <v>416</v>
      </c>
      <c r="J674" s="139" t="s">
        <v>103</v>
      </c>
      <c r="K674" s="151">
        <f>761+6</f>
        <v>767</v>
      </c>
      <c r="L674" s="151">
        <f t="shared" ref="L674:L675" si="204">M674-K674</f>
        <v>0</v>
      </c>
      <c r="M674" s="151">
        <f>761+6</f>
        <v>767</v>
      </c>
    </row>
    <row r="675" spans="1:13" s="153" customFormat="1" ht="53.45" hidden="1" customHeight="1">
      <c r="A675" s="140"/>
      <c r="B675" s="149" t="s">
        <v>108</v>
      </c>
      <c r="C675" s="150" t="s">
        <v>406</v>
      </c>
      <c r="D675" s="139" t="s">
        <v>167</v>
      </c>
      <c r="E675" s="139" t="s">
        <v>141</v>
      </c>
      <c r="F675" s="778" t="s">
        <v>139</v>
      </c>
      <c r="G675" s="779" t="s">
        <v>98</v>
      </c>
      <c r="H675" s="779" t="s">
        <v>119</v>
      </c>
      <c r="I675" s="780" t="s">
        <v>416</v>
      </c>
      <c r="J675" s="139" t="s">
        <v>109</v>
      </c>
      <c r="K675" s="151">
        <v>80</v>
      </c>
      <c r="L675" s="151">
        <f t="shared" si="204"/>
        <v>0</v>
      </c>
      <c r="M675" s="151">
        <v>80</v>
      </c>
    </row>
    <row r="676" spans="1:13" hidden="1"/>
    <row r="677" spans="1:13" hidden="1"/>
    <row r="678" spans="1:13" s="211" customFormat="1" ht="18.75" hidden="1">
      <c r="A678" s="205" t="s">
        <v>588</v>
      </c>
      <c r="B678" s="206"/>
      <c r="C678" s="207"/>
      <c r="D678" s="207"/>
      <c r="E678" s="207"/>
      <c r="F678" s="208"/>
      <c r="G678" s="209"/>
      <c r="H678" s="210"/>
      <c r="K678" s="218"/>
      <c r="L678" s="218"/>
      <c r="M678" s="218"/>
    </row>
    <row r="679" spans="1:13" s="211" customFormat="1" ht="18.75" hidden="1">
      <c r="A679" s="205" t="s">
        <v>589</v>
      </c>
      <c r="B679" s="206"/>
      <c r="C679" s="207"/>
      <c r="D679" s="207"/>
      <c r="E679" s="207"/>
      <c r="F679" s="208"/>
      <c r="G679" s="209"/>
      <c r="H679" s="210"/>
      <c r="K679" s="218"/>
      <c r="L679" s="218"/>
      <c r="M679" s="218"/>
    </row>
    <row r="680" spans="1:13" s="211" customFormat="1" ht="18.75" hidden="1">
      <c r="A680" s="212" t="s">
        <v>590</v>
      </c>
      <c r="B680" s="206"/>
      <c r="D680" s="207"/>
      <c r="E680" s="207"/>
      <c r="F680" s="208"/>
      <c r="K680" s="219" t="s">
        <v>641</v>
      </c>
      <c r="L680" s="219"/>
      <c r="M680" s="219" t="s">
        <v>641</v>
      </c>
    </row>
    <row r="681" spans="1:13" hidden="1"/>
    <row r="682" spans="1:13" hidden="1"/>
    <row r="683" spans="1:13" ht="18.75" hidden="1">
      <c r="D683" s="197" t="s">
        <v>90</v>
      </c>
      <c r="E683" s="197" t="s">
        <v>92</v>
      </c>
      <c r="F683" s="213"/>
      <c r="G683" s="213"/>
      <c r="H683" s="213"/>
      <c r="I683" s="213"/>
      <c r="J683" s="213"/>
      <c r="K683" s="220">
        <f>K16</f>
        <v>1971.5</v>
      </c>
      <c r="L683" s="220">
        <f>L16</f>
        <v>0</v>
      </c>
      <c r="M683" s="220">
        <f>M16</f>
        <v>1971.5</v>
      </c>
    </row>
    <row r="684" spans="1:13" ht="18.75" hidden="1">
      <c r="D684" s="197" t="s">
        <v>90</v>
      </c>
      <c r="E684" s="197" t="s">
        <v>105</v>
      </c>
      <c r="F684" s="213"/>
      <c r="G684" s="213"/>
      <c r="H684" s="213"/>
      <c r="I684" s="213"/>
      <c r="J684" s="213"/>
      <c r="K684" s="220">
        <f>K22</f>
        <v>65994.402390000003</v>
      </c>
      <c r="L684" s="220">
        <f>L22</f>
        <v>123.19999999999982</v>
      </c>
      <c r="M684" s="220">
        <f>M22</f>
        <v>66117.60239</v>
      </c>
    </row>
    <row r="685" spans="1:13" ht="18.75" hidden="1">
      <c r="D685" s="197" t="s">
        <v>90</v>
      </c>
      <c r="E685" s="197" t="s">
        <v>121</v>
      </c>
      <c r="F685" s="213"/>
      <c r="G685" s="213"/>
      <c r="H685" s="213"/>
      <c r="I685" s="213"/>
      <c r="J685" s="213"/>
      <c r="K685" s="220">
        <f>K44</f>
        <v>10.4</v>
      </c>
      <c r="L685" s="220">
        <f>L44</f>
        <v>0</v>
      </c>
      <c r="M685" s="220">
        <f>M44</f>
        <v>10.4</v>
      </c>
    </row>
    <row r="686" spans="1:13" ht="18.75" hidden="1">
      <c r="D686" s="197" t="s">
        <v>90</v>
      </c>
      <c r="E686" s="197" t="s">
        <v>141</v>
      </c>
      <c r="F686" s="213"/>
      <c r="G686" s="213"/>
      <c r="H686" s="213"/>
      <c r="I686" s="213"/>
      <c r="J686" s="213"/>
      <c r="K686" s="220">
        <f>K208+K241</f>
        <v>27664.899999999998</v>
      </c>
      <c r="L686" s="220">
        <f>L208+L241</f>
        <v>0</v>
      </c>
      <c r="M686" s="220">
        <f>M208+M241</f>
        <v>27664.899999999998</v>
      </c>
    </row>
    <row r="687" spans="1:13" ht="18.75" hidden="1">
      <c r="D687" s="197" t="s">
        <v>90</v>
      </c>
      <c r="E687" s="197" t="s">
        <v>304</v>
      </c>
      <c r="F687" s="213"/>
      <c r="G687" s="213"/>
      <c r="H687" s="213"/>
      <c r="I687" s="213"/>
      <c r="J687" s="213"/>
      <c r="K687" s="220"/>
      <c r="L687" s="220"/>
      <c r="M687" s="220"/>
    </row>
    <row r="688" spans="1:13" ht="18.75" hidden="1">
      <c r="D688" s="197" t="s">
        <v>90</v>
      </c>
      <c r="E688" s="197" t="s">
        <v>123</v>
      </c>
      <c r="F688" s="213"/>
      <c r="G688" s="213"/>
      <c r="H688" s="213"/>
      <c r="I688" s="213"/>
      <c r="J688" s="213"/>
      <c r="K688" s="220">
        <f>K50</f>
        <v>8873.2939999999999</v>
      </c>
      <c r="L688" s="220">
        <f>L50</f>
        <v>-4773.4000000000005</v>
      </c>
      <c r="M688" s="220">
        <f>M50</f>
        <v>4099.8939999999993</v>
      </c>
    </row>
    <row r="689" spans="4:13" ht="18.75" hidden="1">
      <c r="D689" s="197" t="s">
        <v>90</v>
      </c>
      <c r="E689" s="197" t="s">
        <v>130</v>
      </c>
      <c r="F689" s="213"/>
      <c r="G689" s="213"/>
      <c r="H689" s="213"/>
      <c r="I689" s="213"/>
      <c r="J689" s="213"/>
      <c r="K689" s="220">
        <f>K56+K258+K219</f>
        <v>40748.129000000008</v>
      </c>
      <c r="L689" s="220">
        <f>L56+L258+L219</f>
        <v>6116.9049999999997</v>
      </c>
      <c r="M689" s="220">
        <f>M56+M258+M219</f>
        <v>46865.034</v>
      </c>
    </row>
    <row r="690" spans="4:13" ht="18.75" hidden="1">
      <c r="D690" s="214" t="s">
        <v>90</v>
      </c>
      <c r="E690" s="214" t="s">
        <v>96</v>
      </c>
      <c r="F690" s="213"/>
      <c r="G690" s="213"/>
      <c r="H690" s="213"/>
      <c r="I690" s="213"/>
      <c r="J690" s="213"/>
      <c r="K690" s="222">
        <f t="shared" ref="K690:M690" si="205">SUM(K683:K689)</f>
        <v>145262.62539</v>
      </c>
      <c r="L690" s="222">
        <f t="shared" ref="L690" si="206">SUM(L683:L689)</f>
        <v>1466.704999999999</v>
      </c>
      <c r="M690" s="222">
        <f t="shared" si="205"/>
        <v>146729.33038999999</v>
      </c>
    </row>
    <row r="691" spans="4:13" ht="18.75" hidden="1">
      <c r="D691" s="197"/>
      <c r="E691" s="197"/>
      <c r="F691" s="213"/>
      <c r="G691" s="213"/>
      <c r="H691" s="213"/>
      <c r="I691" s="213"/>
      <c r="J691" s="213"/>
      <c r="K691" s="220"/>
      <c r="L691" s="220"/>
      <c r="M691" s="220"/>
    </row>
    <row r="692" spans="4:13" ht="18.75" hidden="1">
      <c r="D692" s="197" t="s">
        <v>119</v>
      </c>
      <c r="E692" s="197" t="s">
        <v>139</v>
      </c>
      <c r="F692" s="213"/>
      <c r="G692" s="213"/>
      <c r="H692" s="213"/>
      <c r="I692" s="213"/>
      <c r="J692" s="213"/>
      <c r="K692" s="220">
        <f>K76</f>
        <v>6498.1166799999992</v>
      </c>
      <c r="L692" s="220">
        <f>L76</f>
        <v>0</v>
      </c>
      <c r="M692" s="220">
        <f>M76</f>
        <v>6498.1166799999992</v>
      </c>
    </row>
    <row r="693" spans="4:13" ht="18.75" hidden="1">
      <c r="D693" s="197" t="s">
        <v>119</v>
      </c>
      <c r="E693" s="197" t="s">
        <v>149</v>
      </c>
      <c r="F693" s="213"/>
      <c r="G693" s="213"/>
      <c r="H693" s="213"/>
      <c r="I693" s="213"/>
      <c r="J693" s="213"/>
      <c r="K693" s="220">
        <f>K90</f>
        <v>9079.8639999999978</v>
      </c>
      <c r="L693" s="220">
        <f>L90</f>
        <v>0</v>
      </c>
      <c r="M693" s="220">
        <f>M90</f>
        <v>9079.8639999999978</v>
      </c>
    </row>
    <row r="694" spans="4:13" ht="18.75" hidden="1">
      <c r="D694" s="214" t="s">
        <v>119</v>
      </c>
      <c r="E694" s="214" t="s">
        <v>96</v>
      </c>
      <c r="F694" s="213"/>
      <c r="G694" s="213"/>
      <c r="H694" s="213"/>
      <c r="I694" s="213"/>
      <c r="J694" s="213"/>
      <c r="K694" s="222">
        <f>SUBTOTAL(9,K692:K693)</f>
        <v>0</v>
      </c>
      <c r="L694" s="222">
        <f>SUBTOTAL(9,L692:L693)</f>
        <v>0</v>
      </c>
      <c r="M694" s="222">
        <f>SUBTOTAL(9,M692:M693)</f>
        <v>0</v>
      </c>
    </row>
    <row r="695" spans="4:13" ht="18.75" hidden="1">
      <c r="D695" s="197"/>
      <c r="E695" s="197"/>
      <c r="F695" s="213"/>
      <c r="G695" s="213"/>
      <c r="H695" s="213"/>
      <c r="I695" s="213"/>
      <c r="J695" s="213"/>
      <c r="K695" s="220"/>
      <c r="L695" s="220"/>
      <c r="M695" s="220"/>
    </row>
    <row r="696" spans="4:13" ht="18.75" hidden="1">
      <c r="D696" s="197" t="s">
        <v>105</v>
      </c>
      <c r="E696" s="197" t="s">
        <v>121</v>
      </c>
      <c r="F696" s="213"/>
      <c r="G696" s="213"/>
      <c r="H696" s="213"/>
      <c r="I696" s="213"/>
      <c r="J696" s="213"/>
      <c r="K696" s="220">
        <f>K115</f>
        <v>17441.2</v>
      </c>
      <c r="L696" s="220">
        <f>L115</f>
        <v>0</v>
      </c>
      <c r="M696" s="220">
        <f>M115</f>
        <v>17441.2</v>
      </c>
    </row>
    <row r="697" spans="4:13" ht="18.75" hidden="1">
      <c r="D697" s="197" t="s">
        <v>105</v>
      </c>
      <c r="E697" s="197" t="s">
        <v>139</v>
      </c>
      <c r="F697" s="213"/>
      <c r="G697" s="213"/>
      <c r="H697" s="213"/>
      <c r="I697" s="213"/>
      <c r="J697" s="213"/>
      <c r="K697" s="220">
        <f>K124</f>
        <v>5673.0294000000004</v>
      </c>
      <c r="L697" s="220">
        <f>L124</f>
        <v>0</v>
      </c>
      <c r="M697" s="220">
        <f>M124</f>
        <v>5673.0294000000004</v>
      </c>
    </row>
    <row r="698" spans="4:13" ht="18.75" hidden="1">
      <c r="D698" s="197" t="s">
        <v>105</v>
      </c>
      <c r="E698" s="197" t="s">
        <v>163</v>
      </c>
      <c r="F698" s="213"/>
      <c r="G698" s="213"/>
      <c r="H698" s="213"/>
      <c r="I698" s="213"/>
      <c r="J698" s="213"/>
      <c r="K698" s="220">
        <f>K132+K302</f>
        <v>10764.670000000002</v>
      </c>
      <c r="L698" s="220">
        <f>L132+L302</f>
        <v>100</v>
      </c>
      <c r="M698" s="220">
        <f>M132+M302</f>
        <v>10864.670000000002</v>
      </c>
    </row>
    <row r="699" spans="4:13" ht="18.75" hidden="1">
      <c r="D699" s="214" t="s">
        <v>105</v>
      </c>
      <c r="E699" s="214" t="s">
        <v>96</v>
      </c>
      <c r="F699" s="213"/>
      <c r="G699" s="213"/>
      <c r="H699" s="213"/>
      <c r="I699" s="213"/>
      <c r="J699" s="213"/>
      <c r="K699" s="222">
        <f>SUBTOTAL(9,K696:K698)</f>
        <v>0</v>
      </c>
      <c r="L699" s="222">
        <f>SUBTOTAL(9,L696:L698)</f>
        <v>0</v>
      </c>
      <c r="M699" s="222">
        <f>SUBTOTAL(9,M696:M698)</f>
        <v>0</v>
      </c>
    </row>
    <row r="700" spans="4:13" ht="18.75" hidden="1">
      <c r="D700" s="197"/>
      <c r="E700" s="197"/>
      <c r="F700" s="213"/>
      <c r="G700" s="213"/>
      <c r="H700" s="213"/>
      <c r="I700" s="213"/>
      <c r="J700" s="213"/>
      <c r="K700" s="220"/>
      <c r="L700" s="220"/>
      <c r="M700" s="220"/>
    </row>
    <row r="701" spans="4:13" ht="18.75" hidden="1">
      <c r="D701" s="197" t="s">
        <v>121</v>
      </c>
      <c r="E701" s="197" t="s">
        <v>90</v>
      </c>
      <c r="F701" s="213"/>
      <c r="G701" s="213"/>
      <c r="H701" s="213"/>
      <c r="I701" s="213"/>
      <c r="J701" s="213"/>
      <c r="K701" s="220"/>
      <c r="L701" s="220"/>
      <c r="M701" s="220"/>
    </row>
    <row r="702" spans="4:13" ht="18.75" hidden="1">
      <c r="D702" s="197" t="s">
        <v>121</v>
      </c>
      <c r="E702" s="197" t="s">
        <v>92</v>
      </c>
      <c r="F702" s="213"/>
      <c r="G702" s="213"/>
      <c r="H702" s="213"/>
      <c r="I702" s="213"/>
      <c r="J702" s="213"/>
      <c r="K702" s="220">
        <f>K309+K161</f>
        <v>18223.901000000002</v>
      </c>
      <c r="L702" s="220">
        <f>L309+L161</f>
        <v>0</v>
      </c>
      <c r="M702" s="220">
        <f>M309+M161</f>
        <v>18223.901000000002</v>
      </c>
    </row>
    <row r="703" spans="4:13" ht="18.75" hidden="1">
      <c r="D703" s="197" t="s">
        <v>121</v>
      </c>
      <c r="E703" s="197" t="s">
        <v>121</v>
      </c>
      <c r="F703" s="213"/>
      <c r="G703" s="213"/>
      <c r="H703" s="213"/>
      <c r="I703" s="213"/>
      <c r="J703" s="213"/>
      <c r="K703" s="220">
        <f>K167</f>
        <v>35.700000000000003</v>
      </c>
      <c r="L703" s="220">
        <f>L167</f>
        <v>0</v>
      </c>
      <c r="M703" s="220">
        <f>M167</f>
        <v>35.700000000000003</v>
      </c>
    </row>
    <row r="704" spans="4:13" ht="18.75" hidden="1">
      <c r="D704" s="214" t="s">
        <v>121</v>
      </c>
      <c r="E704" s="214" t="s">
        <v>96</v>
      </c>
      <c r="F704" s="213"/>
      <c r="G704" s="213"/>
      <c r="H704" s="213"/>
      <c r="I704" s="213"/>
      <c r="J704" s="213"/>
      <c r="K704" s="222">
        <f>SUBTOTAL(9,K701:K703)</f>
        <v>0</v>
      </c>
      <c r="L704" s="222">
        <f>SUBTOTAL(9,L701:L703)</f>
        <v>0</v>
      </c>
      <c r="M704" s="222">
        <f>SUBTOTAL(9,M701:M703)</f>
        <v>0</v>
      </c>
    </row>
    <row r="705" spans="4:13" ht="18.75" hidden="1">
      <c r="D705" s="197"/>
      <c r="E705" s="197"/>
      <c r="F705" s="213"/>
      <c r="G705" s="213"/>
      <c r="H705" s="213"/>
      <c r="I705" s="213"/>
      <c r="J705" s="213"/>
      <c r="K705" s="220"/>
      <c r="L705" s="220"/>
      <c r="M705" s="220"/>
    </row>
    <row r="706" spans="4:13" ht="18.75" hidden="1">
      <c r="D706" s="197" t="s">
        <v>304</v>
      </c>
      <c r="E706" s="197" t="s">
        <v>90</v>
      </c>
      <c r="F706" s="213"/>
      <c r="G706" s="213"/>
      <c r="H706" s="213"/>
      <c r="I706" s="213"/>
      <c r="J706" s="213"/>
      <c r="K706" s="220">
        <f>K363+K323</f>
        <v>310314.09999999998</v>
      </c>
      <c r="L706" s="220">
        <f>L363+L323</f>
        <v>727.17599999999652</v>
      </c>
      <c r="M706" s="220">
        <f>M363+M323</f>
        <v>311041.26599999995</v>
      </c>
    </row>
    <row r="707" spans="4:13" ht="18.75" hidden="1">
      <c r="D707" s="197" t="s">
        <v>304</v>
      </c>
      <c r="E707" s="197" t="s">
        <v>92</v>
      </c>
      <c r="F707" s="213"/>
      <c r="G707" s="213"/>
      <c r="H707" s="213"/>
      <c r="I707" s="213"/>
      <c r="J707" s="213"/>
      <c r="K707" s="223">
        <f>K388++K329</f>
        <v>509678.8</v>
      </c>
      <c r="L707" s="223">
        <f>L388++L329</f>
        <v>6931.5390000000043</v>
      </c>
      <c r="M707" s="223">
        <f>M388++M329</f>
        <v>516610.33899999998</v>
      </c>
    </row>
    <row r="708" spans="4:13" ht="18.75" hidden="1">
      <c r="D708" s="197" t="s">
        <v>304</v>
      </c>
      <c r="E708" s="197" t="s">
        <v>119</v>
      </c>
      <c r="F708" s="213"/>
      <c r="G708" s="213"/>
      <c r="H708" s="213"/>
      <c r="I708" s="213"/>
      <c r="J708" s="213"/>
      <c r="K708" s="220">
        <f>K438+K508</f>
        <v>104508.80346000002</v>
      </c>
      <c r="L708" s="220">
        <f>L438+L508</f>
        <v>748.98500000000138</v>
      </c>
      <c r="M708" s="220">
        <f>M438+M508</f>
        <v>105257.78846000001</v>
      </c>
    </row>
    <row r="709" spans="4:13" ht="18.75" hidden="1">
      <c r="D709" s="197" t="s">
        <v>304</v>
      </c>
      <c r="E709" s="197" t="s">
        <v>121</v>
      </c>
      <c r="F709" s="213"/>
      <c r="G709" s="213"/>
      <c r="H709" s="213"/>
      <c r="I709" s="213"/>
      <c r="J709" s="213"/>
      <c r="K709" s="220"/>
      <c r="L709" s="220"/>
      <c r="M709" s="220"/>
    </row>
    <row r="710" spans="4:13" ht="18.75" hidden="1">
      <c r="D710" s="197" t="s">
        <v>304</v>
      </c>
      <c r="E710" s="197" t="s">
        <v>304</v>
      </c>
      <c r="F710" s="213"/>
      <c r="G710" s="213"/>
      <c r="H710" s="213"/>
      <c r="I710" s="213"/>
      <c r="J710" s="213"/>
      <c r="K710" s="220">
        <f>K468+K615+K635+K516</f>
        <v>8058.4000000000005</v>
      </c>
      <c r="L710" s="220">
        <f>L468+L615+L635+L516</f>
        <v>45</v>
      </c>
      <c r="M710" s="220">
        <f>M468+M615+M635+M516</f>
        <v>8103.4000000000005</v>
      </c>
    </row>
    <row r="711" spans="4:13" ht="18.75" hidden="1">
      <c r="D711" s="197" t="s">
        <v>304</v>
      </c>
      <c r="E711" s="197" t="s">
        <v>139</v>
      </c>
      <c r="F711" s="213"/>
      <c r="G711" s="213"/>
      <c r="H711" s="213"/>
      <c r="I711" s="213"/>
      <c r="J711" s="213"/>
      <c r="K711" s="220">
        <f>K477+K624+K522</f>
        <v>46174.648310000004</v>
      </c>
      <c r="L711" s="220">
        <f>L477+L624+L522</f>
        <v>2604.4</v>
      </c>
      <c r="M711" s="220">
        <f>M477+M624+M522</f>
        <v>48779.038309999996</v>
      </c>
    </row>
    <row r="712" spans="4:13" ht="18.75" hidden="1">
      <c r="D712" s="214" t="s">
        <v>304</v>
      </c>
      <c r="E712" s="214" t="s">
        <v>96</v>
      </c>
      <c r="F712" s="213"/>
      <c r="G712" s="213"/>
      <c r="H712" s="213"/>
      <c r="I712" s="213"/>
      <c r="J712" s="213"/>
      <c r="K712" s="222">
        <f>SUBTOTAL(9,K706:K711)</f>
        <v>0</v>
      </c>
      <c r="L712" s="222">
        <f>SUBTOTAL(9,L706:L711)</f>
        <v>0</v>
      </c>
      <c r="M712" s="222">
        <f>SUBTOTAL(9,M706:M711)</f>
        <v>0</v>
      </c>
    </row>
    <row r="713" spans="4:13" ht="18.75" hidden="1">
      <c r="D713" s="197"/>
      <c r="E713" s="197"/>
      <c r="F713" s="213"/>
      <c r="G713" s="213"/>
      <c r="H713" s="213"/>
      <c r="I713" s="213"/>
      <c r="J713" s="213"/>
      <c r="K713" s="220"/>
      <c r="L713" s="220"/>
      <c r="M713" s="220"/>
    </row>
    <row r="714" spans="4:13" ht="18.75" hidden="1">
      <c r="D714" s="197" t="s">
        <v>306</v>
      </c>
      <c r="E714" s="197" t="s">
        <v>90</v>
      </c>
      <c r="F714" s="213"/>
      <c r="G714" s="213"/>
      <c r="H714" s="213"/>
      <c r="I714" s="213"/>
      <c r="J714" s="213"/>
      <c r="K714" s="220">
        <f>K529</f>
        <v>24445.599999999999</v>
      </c>
      <c r="L714" s="220">
        <f>L529</f>
        <v>-488.39999999999964</v>
      </c>
      <c r="M714" s="220">
        <f>M529</f>
        <v>23957.200000000001</v>
      </c>
    </row>
    <row r="715" spans="4:13" ht="18.75" hidden="1">
      <c r="D715" s="197" t="s">
        <v>306</v>
      </c>
      <c r="E715" s="197" t="s">
        <v>105</v>
      </c>
      <c r="F715" s="213"/>
      <c r="G715" s="213"/>
      <c r="H715" s="213"/>
      <c r="I715" s="213"/>
      <c r="J715" s="213"/>
      <c r="K715" s="220">
        <f>K557</f>
        <v>9697.1999999999989</v>
      </c>
      <c r="L715" s="220">
        <f>L557</f>
        <v>120.00000000000017</v>
      </c>
      <c r="M715" s="220">
        <f>M557</f>
        <v>9817.1999999999989</v>
      </c>
    </row>
    <row r="716" spans="4:13" ht="18.75" hidden="1">
      <c r="D716" s="214" t="s">
        <v>306</v>
      </c>
      <c r="E716" s="214" t="s">
        <v>96</v>
      </c>
      <c r="F716" s="213"/>
      <c r="G716" s="213"/>
      <c r="H716" s="213"/>
      <c r="I716" s="213"/>
      <c r="J716" s="213"/>
      <c r="K716" s="222">
        <f>SUBTOTAL(9,K714:K715)</f>
        <v>0</v>
      </c>
      <c r="L716" s="222">
        <f>SUBTOTAL(9,L714:L715)</f>
        <v>0</v>
      </c>
      <c r="M716" s="222">
        <f>SUBTOTAL(9,M714:M715)</f>
        <v>0</v>
      </c>
    </row>
    <row r="717" spans="4:13" ht="18.75" hidden="1">
      <c r="D717" s="197"/>
      <c r="E717" s="197"/>
      <c r="F717" s="213"/>
      <c r="G717" s="213"/>
      <c r="H717" s="213"/>
      <c r="I717" s="213"/>
      <c r="J717" s="213"/>
      <c r="K717" s="220"/>
      <c r="L717" s="220"/>
      <c r="M717" s="220"/>
    </row>
    <row r="718" spans="4:13" ht="18.75" hidden="1">
      <c r="D718" s="197" t="s">
        <v>139</v>
      </c>
      <c r="E718" s="197" t="s">
        <v>90</v>
      </c>
      <c r="F718" s="213"/>
      <c r="G718" s="213"/>
      <c r="H718" s="213"/>
      <c r="I718" s="213"/>
      <c r="J718" s="213"/>
      <c r="K718" s="220"/>
      <c r="L718" s="220"/>
      <c r="M718" s="220"/>
    </row>
    <row r="719" spans="4:13" ht="18.75" hidden="1">
      <c r="D719" s="197" t="s">
        <v>139</v>
      </c>
      <c r="E719" s="197" t="s">
        <v>92</v>
      </c>
      <c r="F719" s="213"/>
      <c r="G719" s="213"/>
      <c r="H719" s="213"/>
      <c r="I719" s="213"/>
      <c r="J719" s="213"/>
      <c r="K719" s="220">
        <f>K336</f>
        <v>8508.1</v>
      </c>
      <c r="L719" s="220">
        <f>L336</f>
        <v>0</v>
      </c>
      <c r="M719" s="220">
        <f>M336</f>
        <v>8508.1</v>
      </c>
    </row>
    <row r="720" spans="4:13" ht="18.75" hidden="1">
      <c r="D720" s="197" t="s">
        <v>139</v>
      </c>
      <c r="E720" s="197" t="s">
        <v>105</v>
      </c>
      <c r="F720" s="213"/>
      <c r="G720" s="213"/>
      <c r="H720" s="213"/>
      <c r="I720" s="213"/>
      <c r="J720" s="213"/>
      <c r="K720" s="220"/>
      <c r="L720" s="220"/>
      <c r="M720" s="220"/>
    </row>
    <row r="721" spans="4:13" ht="18.75" hidden="1">
      <c r="D721" s="197" t="s">
        <v>139</v>
      </c>
      <c r="E721" s="197" t="s">
        <v>139</v>
      </c>
      <c r="F721" s="213"/>
      <c r="G721" s="213"/>
      <c r="H721" s="213"/>
      <c r="I721" s="213"/>
      <c r="J721" s="213"/>
      <c r="K721" s="220"/>
      <c r="L721" s="220"/>
      <c r="M721" s="220"/>
    </row>
    <row r="722" spans="4:13" ht="18.75" hidden="1">
      <c r="D722" s="214" t="s">
        <v>139</v>
      </c>
      <c r="E722" s="214" t="s">
        <v>96</v>
      </c>
      <c r="F722" s="213"/>
      <c r="G722" s="213"/>
      <c r="H722" s="213"/>
      <c r="I722" s="213"/>
      <c r="J722" s="213"/>
      <c r="K722" s="222">
        <f>SUBTOTAL(9,K718:K721)</f>
        <v>0</v>
      </c>
      <c r="L722" s="222">
        <f>SUBTOTAL(9,L718:L721)</f>
        <v>0</v>
      </c>
      <c r="M722" s="222">
        <f>SUBTOTAL(9,M718:M721)</f>
        <v>0</v>
      </c>
    </row>
    <row r="723" spans="4:13" ht="18.75" hidden="1">
      <c r="D723" s="197"/>
      <c r="E723" s="197"/>
      <c r="F723" s="213"/>
      <c r="G723" s="213"/>
      <c r="H723" s="213"/>
      <c r="I723" s="213"/>
      <c r="J723" s="213"/>
      <c r="K723" s="220"/>
      <c r="L723" s="220"/>
      <c r="M723" s="220"/>
    </row>
    <row r="724" spans="4:13" ht="18.75" hidden="1">
      <c r="D724" s="197" t="s">
        <v>167</v>
      </c>
      <c r="E724" s="197" t="s">
        <v>90</v>
      </c>
      <c r="F724" s="213"/>
      <c r="G724" s="213"/>
      <c r="H724" s="213"/>
      <c r="I724" s="213"/>
      <c r="J724" s="213"/>
      <c r="K724" s="220">
        <f>K174</f>
        <v>276</v>
      </c>
      <c r="L724" s="220">
        <f>L174</f>
        <v>0</v>
      </c>
      <c r="M724" s="220">
        <f>M174</f>
        <v>276</v>
      </c>
    </row>
    <row r="725" spans="4:13" ht="18.75" hidden="1">
      <c r="D725" s="197" t="s">
        <v>167</v>
      </c>
      <c r="E725" s="197" t="s">
        <v>119</v>
      </c>
      <c r="F725" s="213"/>
      <c r="G725" s="213"/>
      <c r="H725" s="213"/>
      <c r="I725" s="213"/>
      <c r="J725" s="213"/>
      <c r="K725" s="220"/>
      <c r="L725" s="220"/>
      <c r="M725" s="220"/>
    </row>
    <row r="726" spans="4:13" ht="18.75" hidden="1">
      <c r="D726" s="197" t="s">
        <v>167</v>
      </c>
      <c r="E726" s="197" t="s">
        <v>105</v>
      </c>
      <c r="F726" s="213"/>
      <c r="G726" s="213"/>
      <c r="H726" s="213"/>
      <c r="I726" s="213"/>
      <c r="J726" s="213"/>
      <c r="K726" s="220">
        <f>K498+K642+K343</f>
        <v>111748.30000000002</v>
      </c>
      <c r="L726" s="220">
        <f>L498+L642+L343</f>
        <v>0</v>
      </c>
      <c r="M726" s="220">
        <f>M498+M642+M343</f>
        <v>111748.30000000002</v>
      </c>
    </row>
    <row r="727" spans="4:13" ht="18.75" hidden="1">
      <c r="D727" s="197" t="s">
        <v>167</v>
      </c>
      <c r="E727" s="197" t="s">
        <v>141</v>
      </c>
      <c r="F727" s="213"/>
      <c r="G727" s="213"/>
      <c r="H727" s="213"/>
      <c r="I727" s="213"/>
      <c r="J727" s="213"/>
      <c r="K727" s="220">
        <f>K180+K663</f>
        <v>8535.4</v>
      </c>
      <c r="L727" s="220">
        <f>L180+L663</f>
        <v>384</v>
      </c>
      <c r="M727" s="220">
        <f>M180+M663</f>
        <v>8919.4</v>
      </c>
    </row>
    <row r="728" spans="4:13" ht="18.75" hidden="1">
      <c r="D728" s="214" t="s">
        <v>167</v>
      </c>
      <c r="E728" s="214" t="s">
        <v>96</v>
      </c>
      <c r="F728" s="213"/>
      <c r="G728" s="213"/>
      <c r="H728" s="213"/>
      <c r="I728" s="213"/>
      <c r="J728" s="213"/>
      <c r="K728" s="222">
        <f>SUBTOTAL(9,K724:K727)</f>
        <v>0</v>
      </c>
      <c r="L728" s="222">
        <f>SUBTOTAL(9,L724:L727)</f>
        <v>0</v>
      </c>
      <c r="M728" s="222">
        <f>SUBTOTAL(9,M724:M727)</f>
        <v>0</v>
      </c>
    </row>
    <row r="729" spans="4:13" ht="18.75" hidden="1">
      <c r="D729" s="197"/>
      <c r="E729" s="197"/>
      <c r="F729" s="213"/>
      <c r="G729" s="213"/>
      <c r="H729" s="213"/>
      <c r="I729" s="213"/>
      <c r="J729" s="213"/>
      <c r="K729" s="220"/>
      <c r="L729" s="220"/>
      <c r="M729" s="220"/>
    </row>
    <row r="730" spans="4:13" ht="18.75" hidden="1">
      <c r="D730" s="197" t="s">
        <v>123</v>
      </c>
      <c r="E730" s="197" t="s">
        <v>90</v>
      </c>
      <c r="F730" s="213"/>
      <c r="G730" s="213"/>
      <c r="H730" s="213"/>
      <c r="I730" s="213"/>
      <c r="J730" s="213"/>
      <c r="K730" s="220">
        <f>K576++K351</f>
        <v>48678.2</v>
      </c>
      <c r="L730" s="220">
        <f>L576++L351</f>
        <v>173.54330000000155</v>
      </c>
      <c r="M730" s="220">
        <f>M576++M351</f>
        <v>48851.773299999993</v>
      </c>
    </row>
    <row r="731" spans="4:13" ht="18.75" hidden="1">
      <c r="D731" s="197" t="s">
        <v>123</v>
      </c>
      <c r="E731" s="197" t="s">
        <v>92</v>
      </c>
      <c r="F731" s="213"/>
      <c r="G731" s="213"/>
      <c r="H731" s="213"/>
      <c r="I731" s="213"/>
      <c r="J731" s="213"/>
      <c r="K731" s="220">
        <f>K593</f>
        <v>1620.3</v>
      </c>
      <c r="L731" s="220">
        <f>L593</f>
        <v>100</v>
      </c>
      <c r="M731" s="220">
        <f>M593</f>
        <v>1720.3</v>
      </c>
    </row>
    <row r="732" spans="4:13" ht="18.75" hidden="1">
      <c r="D732" s="197" t="s">
        <v>123</v>
      </c>
      <c r="E732" s="197" t="s">
        <v>121</v>
      </c>
      <c r="F732" s="213"/>
      <c r="G732" s="213"/>
      <c r="H732" s="213"/>
      <c r="I732" s="213"/>
      <c r="J732" s="213"/>
      <c r="K732" s="220">
        <f>K604</f>
        <v>2350.1</v>
      </c>
      <c r="L732" s="220">
        <f>L604</f>
        <v>0</v>
      </c>
      <c r="M732" s="220">
        <f>M604</f>
        <v>2350.1</v>
      </c>
    </row>
    <row r="733" spans="4:13" ht="18.75" hidden="1">
      <c r="D733" s="214" t="s">
        <v>123</v>
      </c>
      <c r="E733" s="214" t="s">
        <v>96</v>
      </c>
      <c r="F733" s="213"/>
      <c r="G733" s="213"/>
      <c r="H733" s="213"/>
      <c r="I733" s="213"/>
      <c r="J733" s="213"/>
      <c r="K733" s="222">
        <f>SUBTOTAL(9,K730:K732)</f>
        <v>0</v>
      </c>
      <c r="L733" s="222">
        <f>SUBTOTAL(9,L730:L732)</f>
        <v>0</v>
      </c>
      <c r="M733" s="222">
        <f>SUBTOTAL(9,M730:M732)</f>
        <v>0</v>
      </c>
    </row>
    <row r="734" spans="4:13" ht="18.75" hidden="1">
      <c r="D734" s="197"/>
      <c r="E734" s="197"/>
      <c r="F734" s="213"/>
      <c r="G734" s="213"/>
      <c r="H734" s="213"/>
      <c r="I734" s="213"/>
      <c r="J734" s="213"/>
      <c r="K734" s="220"/>
      <c r="L734" s="220"/>
      <c r="M734" s="220"/>
    </row>
    <row r="735" spans="4:13" ht="18.75" hidden="1">
      <c r="D735" s="197" t="s">
        <v>130</v>
      </c>
      <c r="E735" s="197" t="s">
        <v>90</v>
      </c>
      <c r="F735" s="213"/>
      <c r="G735" s="213"/>
      <c r="H735" s="213"/>
      <c r="I735" s="213"/>
      <c r="J735" s="213"/>
      <c r="K735" s="220">
        <f>K192</f>
        <v>14.3</v>
      </c>
      <c r="L735" s="220">
        <f>L192</f>
        <v>0</v>
      </c>
      <c r="M735" s="220">
        <f>M192</f>
        <v>14.3</v>
      </c>
    </row>
    <row r="736" spans="4:13" ht="18.75" hidden="1">
      <c r="D736" s="214" t="s">
        <v>130</v>
      </c>
      <c r="E736" s="214" t="s">
        <v>96</v>
      </c>
      <c r="F736" s="213"/>
      <c r="G736" s="213"/>
      <c r="H736" s="213"/>
      <c r="I736" s="213"/>
      <c r="J736" s="213"/>
      <c r="K736" s="222">
        <f>K735</f>
        <v>14.3</v>
      </c>
      <c r="L736" s="222">
        <f>L735</f>
        <v>0</v>
      </c>
      <c r="M736" s="222">
        <f>M735</f>
        <v>14.3</v>
      </c>
    </row>
    <row r="737" spans="2:13" ht="18.75" hidden="1">
      <c r="D737" s="197"/>
      <c r="E737" s="197"/>
      <c r="F737" s="213"/>
      <c r="G737" s="213"/>
      <c r="H737" s="213"/>
      <c r="I737" s="213"/>
      <c r="J737" s="213"/>
      <c r="K737" s="220"/>
      <c r="L737" s="220"/>
      <c r="M737" s="220"/>
    </row>
    <row r="738" spans="2:13" ht="18.75" hidden="1">
      <c r="D738" s="197" t="s">
        <v>149</v>
      </c>
      <c r="E738" s="197" t="s">
        <v>90</v>
      </c>
      <c r="F738" s="213"/>
      <c r="G738" s="213"/>
      <c r="H738" s="213"/>
      <c r="I738" s="213"/>
      <c r="J738" s="213"/>
      <c r="K738" s="220">
        <f>K226</f>
        <v>5000</v>
      </c>
      <c r="L738" s="220">
        <f>L226</f>
        <v>0</v>
      </c>
      <c r="M738" s="220">
        <f>M226</f>
        <v>5000</v>
      </c>
    </row>
    <row r="739" spans="2:13" ht="18.75" hidden="1">
      <c r="D739" s="197" t="s">
        <v>149</v>
      </c>
      <c r="E739" s="197" t="s">
        <v>92</v>
      </c>
      <c r="F739" s="213"/>
      <c r="G739" s="213"/>
      <c r="H739" s="213"/>
      <c r="I739" s="213"/>
      <c r="J739" s="213"/>
      <c r="K739" s="220">
        <f>K232</f>
        <v>4800</v>
      </c>
      <c r="L739" s="220">
        <f>L232</f>
        <v>0</v>
      </c>
      <c r="M739" s="220">
        <f>M232</f>
        <v>4800</v>
      </c>
    </row>
    <row r="740" spans="2:13" ht="18.75" hidden="1">
      <c r="D740" s="197" t="s">
        <v>149</v>
      </c>
      <c r="E740" s="197" t="s">
        <v>119</v>
      </c>
      <c r="F740" s="213"/>
      <c r="G740" s="213"/>
      <c r="H740" s="213"/>
      <c r="I740" s="213"/>
      <c r="J740" s="213"/>
      <c r="K740" s="220">
        <f>K198</f>
        <v>1126.7059999999999</v>
      </c>
      <c r="L740" s="220">
        <f>L198</f>
        <v>0</v>
      </c>
      <c r="M740" s="220">
        <f>M198</f>
        <v>1126.7059999999999</v>
      </c>
    </row>
    <row r="741" spans="2:13" ht="18.75" hidden="1">
      <c r="D741" s="214" t="s">
        <v>149</v>
      </c>
      <c r="E741" s="214" t="s">
        <v>96</v>
      </c>
      <c r="F741" s="213"/>
      <c r="G741" s="213"/>
      <c r="H741" s="213"/>
      <c r="I741" s="213"/>
      <c r="J741" s="213"/>
      <c r="K741" s="222">
        <f>SUBTOTAL(9,K738:K740)</f>
        <v>0</v>
      </c>
      <c r="L741" s="222">
        <f>SUBTOTAL(9,L738:L740)</f>
        <v>0</v>
      </c>
      <c r="M741" s="222">
        <f>SUBTOTAL(9,M738:M740)</f>
        <v>0</v>
      </c>
    </row>
    <row r="742" spans="2:13" ht="18.75" hidden="1">
      <c r="D742" s="197"/>
      <c r="E742" s="197"/>
      <c r="F742" s="213"/>
      <c r="G742" s="213"/>
      <c r="H742" s="213"/>
      <c r="I742" s="213"/>
      <c r="J742" s="213"/>
      <c r="K742" s="220"/>
      <c r="L742" s="220"/>
      <c r="M742" s="220"/>
    </row>
    <row r="743" spans="2:13" ht="18.75" hidden="1">
      <c r="D743" s="197"/>
      <c r="E743" s="197"/>
      <c r="F743" s="213"/>
      <c r="G743" s="213"/>
      <c r="H743" s="213"/>
      <c r="I743" s="213"/>
      <c r="J743" s="213"/>
      <c r="K743" s="221">
        <f>K741+K733+K728+K722+K716+K712+K704+K699+K694+K690+K736</f>
        <v>145276.92538999999</v>
      </c>
      <c r="L743" s="221">
        <f>L741+L733+L728+L722+L716+L712+L704+L699+L694+L690+L736</f>
        <v>1466.704999999999</v>
      </c>
      <c r="M743" s="221">
        <f>M741+M733+M728+M722+M716+M712+M704+M699+M694+M690+M736</f>
        <v>146743.63038999998</v>
      </c>
    </row>
    <row r="744" spans="2:13" ht="18.75" hidden="1">
      <c r="D744" s="197"/>
      <c r="E744" s="197"/>
      <c r="F744" s="213"/>
      <c r="G744" s="213"/>
      <c r="H744" s="213"/>
      <c r="I744" s="213"/>
      <c r="J744" s="213"/>
      <c r="K744" s="223">
        <f>K743-K13</f>
        <v>-1273237.13885</v>
      </c>
      <c r="L744" s="223">
        <f>L743-L13</f>
        <v>-11446.243300000002</v>
      </c>
      <c r="M744" s="223">
        <f>M743-M13</f>
        <v>-1284683.3921499997</v>
      </c>
    </row>
    <row r="745" spans="2:13" ht="18.75" hidden="1">
      <c r="B745" s="130" t="s">
        <v>562</v>
      </c>
      <c r="D745" s="197"/>
      <c r="E745" s="197"/>
      <c r="F745" s="213"/>
      <c r="G745" s="213"/>
      <c r="H745" s="213"/>
      <c r="I745" s="213"/>
      <c r="J745" s="213"/>
      <c r="K745" s="223">
        <f>K733+K728+K722+K716+K712-K663-K628-K608-K565-K485</f>
        <v>-22815.023020000001</v>
      </c>
      <c r="L745" s="223">
        <f>L733+L728+L722+L716+L712-L663-L628-L608-L565-L485</f>
        <v>-75</v>
      </c>
      <c r="M745" s="223">
        <f>M733+M728+M722+M716+M712-M663-M628-M608-M565-M485</f>
        <v>-22890.023020000001</v>
      </c>
    </row>
    <row r="746" spans="2:13" ht="18.75" hidden="1">
      <c r="B746" s="130" t="s">
        <v>561</v>
      </c>
      <c r="D746" s="197"/>
      <c r="E746" s="197"/>
      <c r="F746" s="213"/>
      <c r="G746" s="213"/>
      <c r="H746" s="213"/>
      <c r="I746" s="213"/>
      <c r="J746" s="213"/>
      <c r="K746" s="223">
        <f>K663+K628+K608+K565+K485</f>
        <v>22815.023020000001</v>
      </c>
      <c r="L746" s="223">
        <f>L663+L628+L608+L565+L485</f>
        <v>75</v>
      </c>
      <c r="M746" s="223">
        <f>M663+M628+M608+M565+M485</f>
        <v>22890.023020000001</v>
      </c>
    </row>
    <row r="747" spans="2:13" ht="18.75" hidden="1">
      <c r="D747" s="197"/>
      <c r="E747" s="197"/>
      <c r="F747" s="213"/>
      <c r="G747" s="213"/>
      <c r="H747" s="213"/>
      <c r="I747" s="213"/>
      <c r="J747" s="213"/>
      <c r="K747" s="224"/>
      <c r="L747" s="224"/>
      <c r="M747" s="224"/>
    </row>
    <row r="748" spans="2:13" ht="18.75" hidden="1">
      <c r="D748" s="197"/>
      <c r="E748" s="197"/>
      <c r="F748" s="213"/>
      <c r="G748" s="213"/>
      <c r="H748" s="213"/>
      <c r="I748" s="213"/>
      <c r="J748" s="213"/>
      <c r="K748" s="215">
        <f>(K745/K743)*100</f>
        <v>-15.704505694040833</v>
      </c>
      <c r="L748" s="215">
        <f>(L745/L743)*100</f>
        <v>-5.113502715269945</v>
      </c>
      <c r="M748" s="215">
        <f>(M745/M743)*100</f>
        <v>-15.598648445022981</v>
      </c>
    </row>
  </sheetData>
  <autoFilter ref="A1:M748">
    <filterColumn colId="2">
      <filters>
        <filter val="926"/>
      </filters>
    </filterColumn>
  </autoFilter>
  <mergeCells count="11">
    <mergeCell ref="A7:M7"/>
    <mergeCell ref="L10:M10"/>
    <mergeCell ref="K10:K11"/>
    <mergeCell ref="F12:I12"/>
    <mergeCell ref="A10:A11"/>
    <mergeCell ref="B10:B11"/>
    <mergeCell ref="J10:J11"/>
    <mergeCell ref="F10:I11"/>
    <mergeCell ref="E10:E11"/>
    <mergeCell ref="D10:D11"/>
    <mergeCell ref="C10:C11"/>
  </mergeCells>
  <printOptions horizontalCentered="1"/>
  <pageMargins left="1.1811023622047245" right="0.39370078740157483" top="0.78740157480314965" bottom="0.59055118110236227" header="0.31496062992125984" footer="0.31496062992125984"/>
  <pageSetup paperSize="9" scale="64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FFFF00"/>
    <pageSetUpPr fitToPage="1"/>
  </sheetPr>
  <dimension ref="A1:R443"/>
  <sheetViews>
    <sheetView zoomScale="90" zoomScaleNormal="90" workbookViewId="0">
      <selection activeCell="T272" sqref="T272"/>
    </sheetView>
  </sheetViews>
  <sheetFormatPr defaultColWidth="8.85546875" defaultRowHeight="15"/>
  <cols>
    <col min="1" max="1" width="4.7109375" style="130" customWidth="1"/>
    <col min="2" max="2" width="54.42578125" style="130" customWidth="1"/>
    <col min="3" max="3" width="5.5703125" style="130" customWidth="1"/>
    <col min="4" max="4" width="3.7109375" style="130" customWidth="1"/>
    <col min="5" max="5" width="4" style="130" customWidth="1"/>
    <col min="6" max="6" width="3.28515625" style="130" customWidth="1"/>
    <col min="7" max="7" width="2.42578125" style="130" customWidth="1"/>
    <col min="8" max="8" width="3.28515625" style="130" customWidth="1"/>
    <col min="9" max="9" width="9.140625" style="130" customWidth="1"/>
    <col min="10" max="10" width="5" style="130" customWidth="1"/>
    <col min="11" max="11" width="15.140625" style="677" hidden="1" customWidth="1"/>
    <col min="12" max="12" width="13.85546875" style="130" customWidth="1"/>
    <col min="13" max="14" width="13.42578125" style="677" customWidth="1"/>
    <col min="15" max="15" width="8.85546875" style="130" customWidth="1"/>
    <col min="16" max="17" width="8.85546875" style="130"/>
    <col min="18" max="18" width="14.28515625" style="130" customWidth="1"/>
    <col min="19" max="16384" width="8.85546875" style="130"/>
  </cols>
  <sheetData>
    <row r="1" spans="1:14" s="236" customFormat="1" ht="18.75">
      <c r="K1" s="244"/>
      <c r="N1" s="244" t="s">
        <v>699</v>
      </c>
    </row>
    <row r="2" spans="1:14" s="236" customFormat="1" ht="18.75">
      <c r="K2" s="244"/>
      <c r="N2" s="244" t="s">
        <v>0</v>
      </c>
    </row>
    <row r="3" spans="1:14" s="236" customFormat="1" ht="18.75">
      <c r="K3" s="244"/>
      <c r="M3" s="244"/>
    </row>
    <row r="4" spans="1:14" ht="18.75">
      <c r="N4" s="244" t="s">
        <v>639</v>
      </c>
    </row>
    <row r="5" spans="1:14" ht="18.75">
      <c r="N5" s="244" t="s">
        <v>817</v>
      </c>
    </row>
    <row r="8" spans="1:14" ht="17.45" customHeight="1">
      <c r="A8" s="939" t="s">
        <v>754</v>
      </c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</row>
    <row r="9" spans="1:14" ht="17.45" customHeight="1">
      <c r="A9" s="555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</row>
    <row r="10" spans="1:14" ht="17.45" customHeight="1">
      <c r="A10" s="555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</row>
    <row r="11" spans="1:14" ht="18.75">
      <c r="A11" s="131"/>
      <c r="B11" s="132"/>
      <c r="C11" s="133"/>
      <c r="D11" s="133"/>
      <c r="E11" s="133"/>
      <c r="F11" s="133"/>
      <c r="G11" s="131"/>
      <c r="H11" s="134"/>
      <c r="I11" s="135"/>
      <c r="J11" s="136"/>
      <c r="L11" s="136"/>
      <c r="N11" s="678" t="s">
        <v>75</v>
      </c>
    </row>
    <row r="12" spans="1:14" ht="18" customHeight="1">
      <c r="A12" s="962" t="s">
        <v>76</v>
      </c>
      <c r="B12" s="963" t="s">
        <v>77</v>
      </c>
      <c r="C12" s="961" t="s">
        <v>78</v>
      </c>
      <c r="D12" s="961" t="s">
        <v>79</v>
      </c>
      <c r="E12" s="961" t="s">
        <v>80</v>
      </c>
      <c r="F12" s="960" t="s">
        <v>81</v>
      </c>
      <c r="G12" s="961"/>
      <c r="H12" s="961"/>
      <c r="I12" s="961"/>
      <c r="J12" s="961" t="s">
        <v>82</v>
      </c>
      <c r="K12" s="943" t="s">
        <v>816</v>
      </c>
      <c r="L12" s="966" t="s">
        <v>591</v>
      </c>
      <c r="M12" s="967"/>
      <c r="N12" s="964" t="s">
        <v>716</v>
      </c>
    </row>
    <row r="13" spans="1:14" ht="34.9" customHeight="1">
      <c r="A13" s="962"/>
      <c r="B13" s="963"/>
      <c r="C13" s="961"/>
      <c r="D13" s="961"/>
      <c r="E13" s="961"/>
      <c r="F13" s="960"/>
      <c r="G13" s="961"/>
      <c r="H13" s="961"/>
      <c r="I13" s="961"/>
      <c r="J13" s="961"/>
      <c r="K13" s="944"/>
      <c r="L13" s="679" t="s">
        <v>606</v>
      </c>
      <c r="M13" s="680" t="s">
        <v>569</v>
      </c>
      <c r="N13" s="965"/>
    </row>
    <row r="14" spans="1:14" ht="18.75">
      <c r="A14" s="137">
        <v>1</v>
      </c>
      <c r="B14" s="138">
        <v>2</v>
      </c>
      <c r="C14" s="139" t="s">
        <v>83</v>
      </c>
      <c r="D14" s="139" t="s">
        <v>84</v>
      </c>
      <c r="E14" s="139" t="s">
        <v>85</v>
      </c>
      <c r="F14" s="946" t="s">
        <v>86</v>
      </c>
      <c r="G14" s="946"/>
      <c r="H14" s="946"/>
      <c r="I14" s="947"/>
      <c r="J14" s="139" t="s">
        <v>87</v>
      </c>
      <c r="K14" s="544">
        <v>9</v>
      </c>
      <c r="L14" s="139" t="s">
        <v>607</v>
      </c>
      <c r="M14" s="544">
        <v>9</v>
      </c>
      <c r="N14" s="544">
        <v>10</v>
      </c>
    </row>
    <row r="15" spans="1:14" ht="25.15" customHeight="1">
      <c r="A15" s="140"/>
      <c r="B15" s="681" t="s">
        <v>281</v>
      </c>
      <c r="C15" s="620"/>
      <c r="D15" s="621"/>
      <c r="E15" s="621"/>
      <c r="F15" s="623"/>
      <c r="G15" s="623"/>
      <c r="H15" s="623"/>
      <c r="I15" s="624"/>
      <c r="J15" s="621"/>
      <c r="K15" s="625">
        <f>K16+K108+K125+K137+K165+K245+K279+K304+K322+K366</f>
        <v>1227850.2</v>
      </c>
      <c r="L15" s="625">
        <f>L16+L108+L125+L137+L165+L245+L279+L304+L322+L366</f>
        <v>34802</v>
      </c>
      <c r="M15" s="625">
        <f>M16+M108+M125+M137+M165+M245+M279+M304+M322+M366</f>
        <v>1262652.1999999997</v>
      </c>
      <c r="N15" s="625">
        <f>N16+N108+N125+N137+N165+N245+N279+N304+N322+N366</f>
        <v>1229700.7</v>
      </c>
    </row>
    <row r="16" spans="1:14" s="148" customFormat="1" ht="37.5">
      <c r="A16" s="141">
        <v>1</v>
      </c>
      <c r="B16" s="682" t="s">
        <v>4</v>
      </c>
      <c r="C16" s="143" t="s">
        <v>13</v>
      </c>
      <c r="D16" s="144"/>
      <c r="E16" s="144"/>
      <c r="F16" s="146"/>
      <c r="G16" s="146"/>
      <c r="H16" s="146"/>
      <c r="I16" s="147"/>
      <c r="J16" s="144"/>
      <c r="K16" s="228">
        <f>K17+K54+K72+K100</f>
        <v>95565.499999999985</v>
      </c>
      <c r="L16" s="228">
        <f>L17+L54+L72+L100</f>
        <v>39</v>
      </c>
      <c r="M16" s="228">
        <f>M17+M54+M72+M100</f>
        <v>95604.499999999985</v>
      </c>
      <c r="N16" s="228">
        <f>N17+N54+N72+N100</f>
        <v>93744.4</v>
      </c>
    </row>
    <row r="17" spans="1:14" s="152" customFormat="1" ht="18.75">
      <c r="A17" s="140"/>
      <c r="B17" s="158" t="s">
        <v>89</v>
      </c>
      <c r="C17" s="150" t="s">
        <v>13</v>
      </c>
      <c r="D17" s="139" t="s">
        <v>90</v>
      </c>
      <c r="E17" s="139"/>
      <c r="F17" s="557"/>
      <c r="G17" s="557"/>
      <c r="H17" s="557"/>
      <c r="I17" s="558"/>
      <c r="J17" s="139"/>
      <c r="K17" s="151">
        <f t="shared" ref="K17" si="0">K18+K24+K48+K42</f>
        <v>66179.199999999997</v>
      </c>
      <c r="L17" s="151">
        <f>L18+L24+L48+L42</f>
        <v>0</v>
      </c>
      <c r="M17" s="151">
        <f t="shared" ref="M17:N17" si="1">M18+M24+M48+M42</f>
        <v>66179.199999999997</v>
      </c>
      <c r="N17" s="151">
        <f t="shared" si="1"/>
        <v>64340.7</v>
      </c>
    </row>
    <row r="18" spans="1:14" s="153" customFormat="1" ht="56.25">
      <c r="A18" s="140"/>
      <c r="B18" s="158" t="s">
        <v>91</v>
      </c>
      <c r="C18" s="150" t="s">
        <v>13</v>
      </c>
      <c r="D18" s="139" t="s">
        <v>90</v>
      </c>
      <c r="E18" s="139" t="s">
        <v>92</v>
      </c>
      <c r="F18" s="557"/>
      <c r="G18" s="557"/>
      <c r="H18" s="557"/>
      <c r="I18" s="558"/>
      <c r="J18" s="139"/>
      <c r="K18" s="151">
        <f t="shared" ref="K18:N22" si="2">K19</f>
        <v>1971.5</v>
      </c>
      <c r="L18" s="151">
        <f t="shared" si="2"/>
        <v>0</v>
      </c>
      <c r="M18" s="151">
        <f t="shared" si="2"/>
        <v>1971.5</v>
      </c>
      <c r="N18" s="151">
        <f t="shared" si="2"/>
        <v>1971.5</v>
      </c>
    </row>
    <row r="19" spans="1:14" s="153" customFormat="1" ht="56.25">
      <c r="A19" s="140"/>
      <c r="B19" s="716" t="s">
        <v>93</v>
      </c>
      <c r="C19" s="717" t="s">
        <v>13</v>
      </c>
      <c r="D19" s="718" t="s">
        <v>90</v>
      </c>
      <c r="E19" s="718" t="s">
        <v>92</v>
      </c>
      <c r="F19" s="719" t="s">
        <v>94</v>
      </c>
      <c r="G19" s="719" t="s">
        <v>95</v>
      </c>
      <c r="H19" s="719" t="s">
        <v>96</v>
      </c>
      <c r="I19" s="720" t="s">
        <v>97</v>
      </c>
      <c r="J19" s="718"/>
      <c r="K19" s="721">
        <f>K20</f>
        <v>1971.5</v>
      </c>
      <c r="L19" s="721">
        <f t="shared" si="2"/>
        <v>0</v>
      </c>
      <c r="M19" s="721">
        <f>M20</f>
        <v>1971.5</v>
      </c>
      <c r="N19" s="721">
        <f t="shared" si="2"/>
        <v>1971.5</v>
      </c>
    </row>
    <row r="20" spans="1:14" s="153" customFormat="1" ht="37.5">
      <c r="A20" s="140"/>
      <c r="B20" s="158" t="s">
        <v>491</v>
      </c>
      <c r="C20" s="150" t="s">
        <v>13</v>
      </c>
      <c r="D20" s="139" t="s">
        <v>90</v>
      </c>
      <c r="E20" s="139" t="s">
        <v>92</v>
      </c>
      <c r="F20" s="557" t="s">
        <v>94</v>
      </c>
      <c r="G20" s="557" t="s">
        <v>98</v>
      </c>
      <c r="H20" s="557" t="s">
        <v>96</v>
      </c>
      <c r="I20" s="558" t="s">
        <v>97</v>
      </c>
      <c r="J20" s="139"/>
      <c r="K20" s="151">
        <f t="shared" si="2"/>
        <v>1971.5</v>
      </c>
      <c r="L20" s="151">
        <f t="shared" si="2"/>
        <v>0</v>
      </c>
      <c r="M20" s="151">
        <f t="shared" si="2"/>
        <v>1971.5</v>
      </c>
      <c r="N20" s="151">
        <f t="shared" si="2"/>
        <v>1971.5</v>
      </c>
    </row>
    <row r="21" spans="1:14" s="153" customFormat="1" ht="49.15" customHeight="1">
      <c r="A21" s="140"/>
      <c r="B21" s="158" t="s">
        <v>99</v>
      </c>
      <c r="C21" s="150" t="s">
        <v>13</v>
      </c>
      <c r="D21" s="139" t="s">
        <v>90</v>
      </c>
      <c r="E21" s="139" t="s">
        <v>92</v>
      </c>
      <c r="F21" s="557" t="s">
        <v>94</v>
      </c>
      <c r="G21" s="557" t="s">
        <v>98</v>
      </c>
      <c r="H21" s="557" t="s">
        <v>90</v>
      </c>
      <c r="I21" s="558" t="s">
        <v>97</v>
      </c>
      <c r="J21" s="139"/>
      <c r="K21" s="151">
        <f t="shared" si="2"/>
        <v>1971.5</v>
      </c>
      <c r="L21" s="151">
        <f t="shared" si="2"/>
        <v>0</v>
      </c>
      <c r="M21" s="151">
        <f t="shared" si="2"/>
        <v>1971.5</v>
      </c>
      <c r="N21" s="151">
        <f t="shared" si="2"/>
        <v>1971.5</v>
      </c>
    </row>
    <row r="22" spans="1:14" s="153" customFormat="1" ht="37.5">
      <c r="A22" s="140"/>
      <c r="B22" s="158" t="s">
        <v>100</v>
      </c>
      <c r="C22" s="150" t="s">
        <v>13</v>
      </c>
      <c r="D22" s="139" t="s">
        <v>90</v>
      </c>
      <c r="E22" s="139" t="s">
        <v>92</v>
      </c>
      <c r="F22" s="557" t="s">
        <v>94</v>
      </c>
      <c r="G22" s="557" t="s">
        <v>98</v>
      </c>
      <c r="H22" s="557" t="s">
        <v>90</v>
      </c>
      <c r="I22" s="558" t="s">
        <v>101</v>
      </c>
      <c r="J22" s="139"/>
      <c r="K22" s="151">
        <f t="shared" si="2"/>
        <v>1971.5</v>
      </c>
      <c r="L22" s="151">
        <f t="shared" si="2"/>
        <v>0</v>
      </c>
      <c r="M22" s="151">
        <f t="shared" si="2"/>
        <v>1971.5</v>
      </c>
      <c r="N22" s="151">
        <f t="shared" si="2"/>
        <v>1971.5</v>
      </c>
    </row>
    <row r="23" spans="1:14" s="153" customFormat="1" ht="86.45" customHeight="1">
      <c r="A23" s="140"/>
      <c r="B23" s="158" t="s">
        <v>102</v>
      </c>
      <c r="C23" s="150" t="s">
        <v>13</v>
      </c>
      <c r="D23" s="139" t="s">
        <v>90</v>
      </c>
      <c r="E23" s="139" t="s">
        <v>92</v>
      </c>
      <c r="F23" s="557" t="s">
        <v>94</v>
      </c>
      <c r="G23" s="557" t="s">
        <v>98</v>
      </c>
      <c r="H23" s="557" t="s">
        <v>90</v>
      </c>
      <c r="I23" s="558" t="s">
        <v>101</v>
      </c>
      <c r="J23" s="139" t="s">
        <v>103</v>
      </c>
      <c r="K23" s="151">
        <v>1971.5</v>
      </c>
      <c r="L23" s="151">
        <f>M23-K23</f>
        <v>0</v>
      </c>
      <c r="M23" s="151">
        <v>1971.5</v>
      </c>
      <c r="N23" s="151">
        <v>1971.5</v>
      </c>
    </row>
    <row r="24" spans="1:14" s="152" customFormat="1" ht="93.75">
      <c r="A24" s="140"/>
      <c r="B24" s="158" t="s">
        <v>104</v>
      </c>
      <c r="C24" s="150" t="s">
        <v>13</v>
      </c>
      <c r="D24" s="139" t="s">
        <v>90</v>
      </c>
      <c r="E24" s="139" t="s">
        <v>105</v>
      </c>
      <c r="F24" s="557"/>
      <c r="G24" s="557"/>
      <c r="H24" s="557"/>
      <c r="I24" s="558"/>
      <c r="J24" s="139"/>
      <c r="K24" s="151">
        <f t="shared" ref="K24:N25" si="3">K25</f>
        <v>61196.9</v>
      </c>
      <c r="L24" s="151">
        <f t="shared" si="3"/>
        <v>0</v>
      </c>
      <c r="M24" s="151">
        <f t="shared" si="3"/>
        <v>61196.9</v>
      </c>
      <c r="N24" s="151">
        <f t="shared" si="3"/>
        <v>59364.5</v>
      </c>
    </row>
    <row r="25" spans="1:14" s="152" customFormat="1" ht="56.25">
      <c r="A25" s="140"/>
      <c r="B25" s="158" t="s">
        <v>106</v>
      </c>
      <c r="C25" s="150" t="s">
        <v>13</v>
      </c>
      <c r="D25" s="139" t="s">
        <v>90</v>
      </c>
      <c r="E25" s="139" t="s">
        <v>105</v>
      </c>
      <c r="F25" s="557" t="s">
        <v>94</v>
      </c>
      <c r="G25" s="557" t="s">
        <v>95</v>
      </c>
      <c r="H25" s="557" t="s">
        <v>96</v>
      </c>
      <c r="I25" s="558" t="s">
        <v>97</v>
      </c>
      <c r="J25" s="139"/>
      <c r="K25" s="151">
        <f>K26</f>
        <v>61196.9</v>
      </c>
      <c r="L25" s="151">
        <f t="shared" si="3"/>
        <v>0</v>
      </c>
      <c r="M25" s="151">
        <f>M26</f>
        <v>61196.9</v>
      </c>
      <c r="N25" s="151">
        <f t="shared" si="3"/>
        <v>59364.5</v>
      </c>
    </row>
    <row r="26" spans="1:14" s="136" customFormat="1" ht="37.5">
      <c r="A26" s="140"/>
      <c r="B26" s="158" t="s">
        <v>491</v>
      </c>
      <c r="C26" s="150" t="s">
        <v>13</v>
      </c>
      <c r="D26" s="139" t="s">
        <v>90</v>
      </c>
      <c r="E26" s="139" t="s">
        <v>105</v>
      </c>
      <c r="F26" s="557" t="s">
        <v>94</v>
      </c>
      <c r="G26" s="557" t="s">
        <v>98</v>
      </c>
      <c r="H26" s="557" t="s">
        <v>96</v>
      </c>
      <c r="I26" s="558" t="s">
        <v>97</v>
      </c>
      <c r="J26" s="139"/>
      <c r="K26" s="151">
        <f>K27</f>
        <v>61196.9</v>
      </c>
      <c r="L26" s="151">
        <f>L27</f>
        <v>0</v>
      </c>
      <c r="M26" s="151">
        <f>M27</f>
        <v>61196.9</v>
      </c>
      <c r="N26" s="151">
        <f>N27</f>
        <v>59364.5</v>
      </c>
    </row>
    <row r="27" spans="1:14" s="136" customFormat="1" ht="37.5">
      <c r="A27" s="140"/>
      <c r="B27" s="158" t="s">
        <v>107</v>
      </c>
      <c r="C27" s="150" t="s">
        <v>13</v>
      </c>
      <c r="D27" s="139" t="s">
        <v>90</v>
      </c>
      <c r="E27" s="139" t="s">
        <v>105</v>
      </c>
      <c r="F27" s="557" t="s">
        <v>94</v>
      </c>
      <c r="G27" s="557" t="s">
        <v>98</v>
      </c>
      <c r="H27" s="557" t="s">
        <v>92</v>
      </c>
      <c r="I27" s="558" t="s">
        <v>97</v>
      </c>
      <c r="J27" s="139"/>
      <c r="K27" s="151">
        <f>K28+K33+K35+K38+K31+K40</f>
        <v>61196.9</v>
      </c>
      <c r="L27" s="151">
        <f>L28+L33+L35+L38+L31+L40</f>
        <v>0</v>
      </c>
      <c r="M27" s="151">
        <f>M28+M33+M35+M38+M31+M40</f>
        <v>61196.9</v>
      </c>
      <c r="N27" s="151">
        <f>N28+N33+N35+N38+N31+N40</f>
        <v>59364.5</v>
      </c>
    </row>
    <row r="28" spans="1:14" s="153" customFormat="1" ht="37.5">
      <c r="A28" s="140"/>
      <c r="B28" s="158" t="s">
        <v>100</v>
      </c>
      <c r="C28" s="150" t="s">
        <v>13</v>
      </c>
      <c r="D28" s="139" t="s">
        <v>90</v>
      </c>
      <c r="E28" s="139" t="s">
        <v>105</v>
      </c>
      <c r="F28" s="557" t="s">
        <v>94</v>
      </c>
      <c r="G28" s="557" t="s">
        <v>98</v>
      </c>
      <c r="H28" s="557" t="s">
        <v>92</v>
      </c>
      <c r="I28" s="558" t="s">
        <v>101</v>
      </c>
      <c r="J28" s="139"/>
      <c r="K28" s="151">
        <f t="shared" ref="K28" si="4">SUM(K29:K30)</f>
        <v>57331.8</v>
      </c>
      <c r="L28" s="151">
        <f>SUM(L29:L30)</f>
        <v>0</v>
      </c>
      <c r="M28" s="151">
        <f t="shared" ref="M28:N28" si="5">SUM(M29:M30)</f>
        <v>57331.8</v>
      </c>
      <c r="N28" s="151">
        <f t="shared" si="5"/>
        <v>55499.4</v>
      </c>
    </row>
    <row r="29" spans="1:14" s="153" customFormat="1" ht="85.9" customHeight="1">
      <c r="A29" s="140"/>
      <c r="B29" s="158" t="s">
        <v>102</v>
      </c>
      <c r="C29" s="150" t="s">
        <v>13</v>
      </c>
      <c r="D29" s="139" t="s">
        <v>90</v>
      </c>
      <c r="E29" s="139" t="s">
        <v>105</v>
      </c>
      <c r="F29" s="557" t="s">
        <v>94</v>
      </c>
      <c r="G29" s="557" t="s">
        <v>98</v>
      </c>
      <c r="H29" s="557" t="s">
        <v>92</v>
      </c>
      <c r="I29" s="558" t="s">
        <v>101</v>
      </c>
      <c r="J29" s="139" t="s">
        <v>103</v>
      </c>
      <c r="K29" s="151">
        <v>55499.4</v>
      </c>
      <c r="L29" s="151">
        <f t="shared" ref="L29:L30" si="6">M29-K29</f>
        <v>0</v>
      </c>
      <c r="M29" s="151">
        <v>55499.4</v>
      </c>
      <c r="N29" s="151">
        <v>55499.4</v>
      </c>
    </row>
    <row r="30" spans="1:14" s="136" customFormat="1" ht="31.9" customHeight="1">
      <c r="A30" s="140"/>
      <c r="B30" s="158" t="s">
        <v>108</v>
      </c>
      <c r="C30" s="150" t="s">
        <v>13</v>
      </c>
      <c r="D30" s="139" t="s">
        <v>90</v>
      </c>
      <c r="E30" s="139" t="s">
        <v>105</v>
      </c>
      <c r="F30" s="557" t="s">
        <v>94</v>
      </c>
      <c r="G30" s="557" t="s">
        <v>98</v>
      </c>
      <c r="H30" s="557" t="s">
        <v>92</v>
      </c>
      <c r="I30" s="558" t="s">
        <v>101</v>
      </c>
      <c r="J30" s="139" t="s">
        <v>109</v>
      </c>
      <c r="K30" s="151">
        <v>1832.4</v>
      </c>
      <c r="L30" s="151">
        <f t="shared" si="6"/>
        <v>0</v>
      </c>
      <c r="M30" s="151">
        <v>1832.4</v>
      </c>
      <c r="N30" s="151">
        <v>0</v>
      </c>
    </row>
    <row r="31" spans="1:14" s="152" customFormat="1" ht="93.75">
      <c r="A31" s="140"/>
      <c r="B31" s="158" t="s">
        <v>117</v>
      </c>
      <c r="C31" s="150" t="s">
        <v>13</v>
      </c>
      <c r="D31" s="139" t="s">
        <v>90</v>
      </c>
      <c r="E31" s="139" t="s">
        <v>105</v>
      </c>
      <c r="F31" s="557" t="s">
        <v>94</v>
      </c>
      <c r="G31" s="557" t="s">
        <v>98</v>
      </c>
      <c r="H31" s="557" t="s">
        <v>92</v>
      </c>
      <c r="I31" s="558" t="s">
        <v>370</v>
      </c>
      <c r="J31" s="139"/>
      <c r="K31" s="151">
        <f>K32</f>
        <v>66</v>
      </c>
      <c r="L31" s="151">
        <f>L32</f>
        <v>0</v>
      </c>
      <c r="M31" s="151">
        <f>M32</f>
        <v>66</v>
      </c>
      <c r="N31" s="151">
        <f>N32</f>
        <v>66</v>
      </c>
    </row>
    <row r="32" spans="1:14" s="152" customFormat="1" ht="37.9" customHeight="1">
      <c r="A32" s="140"/>
      <c r="B32" s="158" t="s">
        <v>108</v>
      </c>
      <c r="C32" s="150" t="s">
        <v>13</v>
      </c>
      <c r="D32" s="139" t="s">
        <v>90</v>
      </c>
      <c r="E32" s="139" t="s">
        <v>105</v>
      </c>
      <c r="F32" s="557" t="s">
        <v>94</v>
      </c>
      <c r="G32" s="557" t="s">
        <v>98</v>
      </c>
      <c r="H32" s="557" t="s">
        <v>92</v>
      </c>
      <c r="I32" s="558" t="s">
        <v>370</v>
      </c>
      <c r="J32" s="139" t="s">
        <v>109</v>
      </c>
      <c r="K32" s="151">
        <v>66</v>
      </c>
      <c r="L32" s="151">
        <f>M32-K32</f>
        <v>0</v>
      </c>
      <c r="M32" s="151">
        <v>66</v>
      </c>
      <c r="N32" s="151">
        <v>66</v>
      </c>
    </row>
    <row r="33" spans="1:14" s="152" customFormat="1" ht="18.75">
      <c r="A33" s="140"/>
      <c r="B33" s="149" t="s">
        <v>809</v>
      </c>
      <c r="C33" s="150" t="s">
        <v>13</v>
      </c>
      <c r="D33" s="139" t="s">
        <v>90</v>
      </c>
      <c r="E33" s="139" t="s">
        <v>105</v>
      </c>
      <c r="F33" s="557" t="s">
        <v>94</v>
      </c>
      <c r="G33" s="557" t="s">
        <v>98</v>
      </c>
      <c r="H33" s="557" t="s">
        <v>92</v>
      </c>
      <c r="I33" s="558" t="s">
        <v>112</v>
      </c>
      <c r="J33" s="139"/>
      <c r="K33" s="151">
        <f>K34</f>
        <v>617.1</v>
      </c>
      <c r="L33" s="151">
        <f>L34</f>
        <v>0</v>
      </c>
      <c r="M33" s="151">
        <f>M34</f>
        <v>617.1</v>
      </c>
      <c r="N33" s="151">
        <f>N34</f>
        <v>617.1</v>
      </c>
    </row>
    <row r="34" spans="1:14" s="152" customFormat="1" ht="87" customHeight="1">
      <c r="A34" s="140"/>
      <c r="B34" s="158" t="s">
        <v>102</v>
      </c>
      <c r="C34" s="150" t="s">
        <v>13</v>
      </c>
      <c r="D34" s="139" t="s">
        <v>90</v>
      </c>
      <c r="E34" s="139" t="s">
        <v>105</v>
      </c>
      <c r="F34" s="557" t="s">
        <v>94</v>
      </c>
      <c r="G34" s="557" t="s">
        <v>98</v>
      </c>
      <c r="H34" s="557" t="s">
        <v>92</v>
      </c>
      <c r="I34" s="558" t="s">
        <v>112</v>
      </c>
      <c r="J34" s="139" t="s">
        <v>103</v>
      </c>
      <c r="K34" s="151">
        <v>617.1</v>
      </c>
      <c r="L34" s="151">
        <f>M34-K34</f>
        <v>0</v>
      </c>
      <c r="M34" s="151">
        <v>617.1</v>
      </c>
      <c r="N34" s="151">
        <v>617.1</v>
      </c>
    </row>
    <row r="35" spans="1:14" s="152" customFormat="1" ht="75">
      <c r="A35" s="140"/>
      <c r="B35" s="158" t="s">
        <v>113</v>
      </c>
      <c r="C35" s="150" t="s">
        <v>13</v>
      </c>
      <c r="D35" s="139" t="s">
        <v>90</v>
      </c>
      <c r="E35" s="139" t="s">
        <v>105</v>
      </c>
      <c r="F35" s="557" t="s">
        <v>94</v>
      </c>
      <c r="G35" s="557" t="s">
        <v>98</v>
      </c>
      <c r="H35" s="557" t="s">
        <v>92</v>
      </c>
      <c r="I35" s="558" t="s">
        <v>114</v>
      </c>
      <c r="J35" s="139"/>
      <c r="K35" s="151">
        <f>SUM(K36:K37)</f>
        <v>2498.7000000000003</v>
      </c>
      <c r="L35" s="151">
        <f>SUM(L36:L37)</f>
        <v>0</v>
      </c>
      <c r="M35" s="151">
        <f>SUM(M36:M37)</f>
        <v>2498.7000000000003</v>
      </c>
      <c r="N35" s="151">
        <f>SUM(N36:N37)</f>
        <v>2498.7000000000003</v>
      </c>
    </row>
    <row r="36" spans="1:14" s="152" customFormat="1" ht="85.9" customHeight="1">
      <c r="A36" s="140"/>
      <c r="B36" s="158" t="s">
        <v>102</v>
      </c>
      <c r="C36" s="150" t="s">
        <v>13</v>
      </c>
      <c r="D36" s="139" t="s">
        <v>90</v>
      </c>
      <c r="E36" s="139" t="s">
        <v>105</v>
      </c>
      <c r="F36" s="557" t="s">
        <v>94</v>
      </c>
      <c r="G36" s="557" t="s">
        <v>98</v>
      </c>
      <c r="H36" s="557" t="s">
        <v>92</v>
      </c>
      <c r="I36" s="558" t="s">
        <v>114</v>
      </c>
      <c r="J36" s="139" t="s">
        <v>103</v>
      </c>
      <c r="K36" s="151">
        <v>2399.8000000000002</v>
      </c>
      <c r="L36" s="151">
        <f t="shared" ref="L36:L37" si="7">M36-K36</f>
        <v>0</v>
      </c>
      <c r="M36" s="151">
        <v>2399.8000000000002</v>
      </c>
      <c r="N36" s="151">
        <v>2399.8000000000002</v>
      </c>
    </row>
    <row r="37" spans="1:14" s="152" customFormat="1" ht="37.9" customHeight="1">
      <c r="A37" s="140"/>
      <c r="B37" s="158" t="s">
        <v>108</v>
      </c>
      <c r="C37" s="150" t="s">
        <v>13</v>
      </c>
      <c r="D37" s="139" t="s">
        <v>90</v>
      </c>
      <c r="E37" s="139" t="s">
        <v>105</v>
      </c>
      <c r="F37" s="557" t="s">
        <v>94</v>
      </c>
      <c r="G37" s="557" t="s">
        <v>98</v>
      </c>
      <c r="H37" s="557" t="s">
        <v>92</v>
      </c>
      <c r="I37" s="558" t="s">
        <v>114</v>
      </c>
      <c r="J37" s="139" t="s">
        <v>109</v>
      </c>
      <c r="K37" s="151">
        <f>89.9+9</f>
        <v>98.9</v>
      </c>
      <c r="L37" s="151">
        <f t="shared" si="7"/>
        <v>0</v>
      </c>
      <c r="M37" s="151">
        <f>89.9+9</f>
        <v>98.9</v>
      </c>
      <c r="N37" s="151">
        <f>89.9+9</f>
        <v>98.9</v>
      </c>
    </row>
    <row r="38" spans="1:14" s="152" customFormat="1" ht="69.599999999999994" customHeight="1">
      <c r="A38" s="140"/>
      <c r="B38" s="158" t="s">
        <v>115</v>
      </c>
      <c r="C38" s="150" t="s">
        <v>13</v>
      </c>
      <c r="D38" s="139" t="s">
        <v>90</v>
      </c>
      <c r="E38" s="139" t="s">
        <v>105</v>
      </c>
      <c r="F38" s="557" t="s">
        <v>94</v>
      </c>
      <c r="G38" s="557" t="s">
        <v>98</v>
      </c>
      <c r="H38" s="557" t="s">
        <v>92</v>
      </c>
      <c r="I38" s="558" t="s">
        <v>116</v>
      </c>
      <c r="J38" s="139"/>
      <c r="K38" s="151">
        <f>K39</f>
        <v>617.29999999999995</v>
      </c>
      <c r="L38" s="151">
        <f>L39</f>
        <v>0</v>
      </c>
      <c r="M38" s="151">
        <f>M39</f>
        <v>617.29999999999995</v>
      </c>
      <c r="N38" s="151">
        <f>N39</f>
        <v>617.29999999999995</v>
      </c>
    </row>
    <row r="39" spans="1:14" s="152" customFormat="1" ht="86.45" customHeight="1">
      <c r="A39" s="140"/>
      <c r="B39" s="158" t="s">
        <v>102</v>
      </c>
      <c r="C39" s="150" t="s">
        <v>13</v>
      </c>
      <c r="D39" s="139" t="s">
        <v>90</v>
      </c>
      <c r="E39" s="139" t="s">
        <v>105</v>
      </c>
      <c r="F39" s="557" t="s">
        <v>94</v>
      </c>
      <c r="G39" s="557" t="s">
        <v>98</v>
      </c>
      <c r="H39" s="557" t="s">
        <v>92</v>
      </c>
      <c r="I39" s="558" t="s">
        <v>116</v>
      </c>
      <c r="J39" s="139" t="s">
        <v>103</v>
      </c>
      <c r="K39" s="151">
        <v>617.29999999999995</v>
      </c>
      <c r="L39" s="151">
        <f>M39-K39</f>
        <v>0</v>
      </c>
      <c r="M39" s="151">
        <v>617.29999999999995</v>
      </c>
      <c r="N39" s="151">
        <v>617.29999999999995</v>
      </c>
    </row>
    <row r="40" spans="1:14" s="152" customFormat="1" ht="86.45" customHeight="1">
      <c r="A40" s="140"/>
      <c r="B40" s="149" t="s">
        <v>584</v>
      </c>
      <c r="C40" s="150" t="s">
        <v>13</v>
      </c>
      <c r="D40" s="139" t="s">
        <v>90</v>
      </c>
      <c r="E40" s="139" t="s">
        <v>105</v>
      </c>
      <c r="F40" s="556" t="s">
        <v>94</v>
      </c>
      <c r="G40" s="557" t="s">
        <v>98</v>
      </c>
      <c r="H40" s="557" t="s">
        <v>92</v>
      </c>
      <c r="I40" s="558" t="s">
        <v>583</v>
      </c>
      <c r="J40" s="139"/>
      <c r="K40" s="151">
        <f>K41</f>
        <v>66</v>
      </c>
      <c r="L40" s="151">
        <f>L41</f>
        <v>0</v>
      </c>
      <c r="M40" s="151">
        <f>M41</f>
        <v>66</v>
      </c>
      <c r="N40" s="151">
        <f>N41</f>
        <v>66</v>
      </c>
    </row>
    <row r="41" spans="1:14" s="152" customFormat="1" ht="36.6" customHeight="1">
      <c r="A41" s="140"/>
      <c r="B41" s="149" t="s">
        <v>108</v>
      </c>
      <c r="C41" s="150" t="s">
        <v>13</v>
      </c>
      <c r="D41" s="139" t="s">
        <v>90</v>
      </c>
      <c r="E41" s="139" t="s">
        <v>105</v>
      </c>
      <c r="F41" s="556" t="s">
        <v>94</v>
      </c>
      <c r="G41" s="557" t="s">
        <v>98</v>
      </c>
      <c r="H41" s="557" t="s">
        <v>92</v>
      </c>
      <c r="I41" s="558" t="s">
        <v>583</v>
      </c>
      <c r="J41" s="139" t="s">
        <v>109</v>
      </c>
      <c r="K41" s="151">
        <v>66</v>
      </c>
      <c r="L41" s="151">
        <f>M41-K41</f>
        <v>0</v>
      </c>
      <c r="M41" s="151">
        <v>66</v>
      </c>
      <c r="N41" s="151">
        <v>66</v>
      </c>
    </row>
    <row r="42" spans="1:14" s="136" customFormat="1" ht="18.75">
      <c r="A42" s="140"/>
      <c r="B42" s="149" t="s">
        <v>634</v>
      </c>
      <c r="C42" s="150" t="s">
        <v>13</v>
      </c>
      <c r="D42" s="139" t="s">
        <v>90</v>
      </c>
      <c r="E42" s="139" t="s">
        <v>121</v>
      </c>
      <c r="F42" s="556"/>
      <c r="G42" s="557"/>
      <c r="H42" s="557"/>
      <c r="I42" s="558"/>
      <c r="J42" s="139"/>
      <c r="K42" s="151">
        <f t="shared" ref="K42:N46" si="8">K43</f>
        <v>10.8</v>
      </c>
      <c r="L42" s="151">
        <f t="shared" si="8"/>
        <v>0</v>
      </c>
      <c r="M42" s="151">
        <f t="shared" si="8"/>
        <v>10.8</v>
      </c>
      <c r="N42" s="151">
        <f t="shared" si="8"/>
        <v>4.7</v>
      </c>
    </row>
    <row r="43" spans="1:14" s="136" customFormat="1" ht="56.25">
      <c r="A43" s="140"/>
      <c r="B43" s="149" t="s">
        <v>106</v>
      </c>
      <c r="C43" s="150" t="s">
        <v>13</v>
      </c>
      <c r="D43" s="139" t="s">
        <v>90</v>
      </c>
      <c r="E43" s="139" t="s">
        <v>121</v>
      </c>
      <c r="F43" s="556" t="s">
        <v>94</v>
      </c>
      <c r="G43" s="557" t="s">
        <v>95</v>
      </c>
      <c r="H43" s="557" t="s">
        <v>96</v>
      </c>
      <c r="I43" s="558" t="s">
        <v>97</v>
      </c>
      <c r="J43" s="139"/>
      <c r="K43" s="151">
        <f t="shared" si="8"/>
        <v>10.8</v>
      </c>
      <c r="L43" s="151">
        <f t="shared" si="8"/>
        <v>0</v>
      </c>
      <c r="M43" s="151">
        <f t="shared" si="8"/>
        <v>10.8</v>
      </c>
      <c r="N43" s="151">
        <f t="shared" si="8"/>
        <v>4.7</v>
      </c>
    </row>
    <row r="44" spans="1:14" s="136" customFormat="1" ht="37.5">
      <c r="A44" s="140"/>
      <c r="B44" s="149" t="s">
        <v>491</v>
      </c>
      <c r="C44" s="150" t="s">
        <v>13</v>
      </c>
      <c r="D44" s="139" t="s">
        <v>90</v>
      </c>
      <c r="E44" s="139" t="s">
        <v>121</v>
      </c>
      <c r="F44" s="556" t="s">
        <v>94</v>
      </c>
      <c r="G44" s="557" t="s">
        <v>98</v>
      </c>
      <c r="H44" s="557" t="s">
        <v>96</v>
      </c>
      <c r="I44" s="558" t="s">
        <v>97</v>
      </c>
      <c r="J44" s="139"/>
      <c r="K44" s="151">
        <f t="shared" si="8"/>
        <v>10.8</v>
      </c>
      <c r="L44" s="151">
        <f t="shared" si="8"/>
        <v>0</v>
      </c>
      <c r="M44" s="151">
        <f t="shared" si="8"/>
        <v>10.8</v>
      </c>
      <c r="N44" s="151">
        <f t="shared" si="8"/>
        <v>4.7</v>
      </c>
    </row>
    <row r="45" spans="1:14" s="136" customFormat="1" ht="37.5">
      <c r="A45" s="140"/>
      <c r="B45" s="149" t="s">
        <v>107</v>
      </c>
      <c r="C45" s="150" t="s">
        <v>13</v>
      </c>
      <c r="D45" s="139" t="s">
        <v>90</v>
      </c>
      <c r="E45" s="139" t="s">
        <v>121</v>
      </c>
      <c r="F45" s="556" t="s">
        <v>94</v>
      </c>
      <c r="G45" s="557" t="s">
        <v>98</v>
      </c>
      <c r="H45" s="557" t="s">
        <v>92</v>
      </c>
      <c r="I45" s="558" t="s">
        <v>97</v>
      </c>
      <c r="J45" s="139"/>
      <c r="K45" s="151">
        <f t="shared" si="8"/>
        <v>10.8</v>
      </c>
      <c r="L45" s="151">
        <f t="shared" si="8"/>
        <v>0</v>
      </c>
      <c r="M45" s="151">
        <f t="shared" si="8"/>
        <v>10.8</v>
      </c>
      <c r="N45" s="151">
        <f t="shared" si="8"/>
        <v>4.7</v>
      </c>
    </row>
    <row r="46" spans="1:14" s="136" customFormat="1" ht="93.75">
      <c r="A46" s="140"/>
      <c r="B46" s="149" t="s">
        <v>636</v>
      </c>
      <c r="C46" s="150" t="s">
        <v>13</v>
      </c>
      <c r="D46" s="139" t="s">
        <v>90</v>
      </c>
      <c r="E46" s="139" t="s">
        <v>121</v>
      </c>
      <c r="F46" s="556" t="s">
        <v>94</v>
      </c>
      <c r="G46" s="557" t="s">
        <v>98</v>
      </c>
      <c r="H46" s="557" t="s">
        <v>92</v>
      </c>
      <c r="I46" s="558" t="s">
        <v>635</v>
      </c>
      <c r="J46" s="139"/>
      <c r="K46" s="151">
        <f t="shared" si="8"/>
        <v>10.8</v>
      </c>
      <c r="L46" s="151">
        <f t="shared" si="8"/>
        <v>0</v>
      </c>
      <c r="M46" s="151">
        <f t="shared" si="8"/>
        <v>10.8</v>
      </c>
      <c r="N46" s="151">
        <f t="shared" si="8"/>
        <v>4.7</v>
      </c>
    </row>
    <row r="47" spans="1:14" s="136" customFormat="1" ht="37.9" customHeight="1">
      <c r="A47" s="140"/>
      <c r="B47" s="149" t="s">
        <v>108</v>
      </c>
      <c r="C47" s="150" t="s">
        <v>13</v>
      </c>
      <c r="D47" s="139" t="s">
        <v>90</v>
      </c>
      <c r="E47" s="139" t="s">
        <v>121</v>
      </c>
      <c r="F47" s="556" t="s">
        <v>94</v>
      </c>
      <c r="G47" s="557" t="s">
        <v>98</v>
      </c>
      <c r="H47" s="557" t="s">
        <v>92</v>
      </c>
      <c r="I47" s="558" t="s">
        <v>635</v>
      </c>
      <c r="J47" s="139" t="s">
        <v>109</v>
      </c>
      <c r="K47" s="151">
        <f>9.5+1.3</f>
        <v>10.8</v>
      </c>
      <c r="L47" s="151">
        <f>M47-K47</f>
        <v>0</v>
      </c>
      <c r="M47" s="151">
        <f>9.5+1.3</f>
        <v>10.8</v>
      </c>
      <c r="N47" s="151">
        <f>9.5-4.8</f>
        <v>4.7</v>
      </c>
    </row>
    <row r="48" spans="1:14" s="153" customFormat="1" ht="18.75">
      <c r="A48" s="140"/>
      <c r="B48" s="158" t="s">
        <v>122</v>
      </c>
      <c r="C48" s="150" t="s">
        <v>13</v>
      </c>
      <c r="D48" s="139" t="s">
        <v>90</v>
      </c>
      <c r="E48" s="139" t="s">
        <v>123</v>
      </c>
      <c r="F48" s="557"/>
      <c r="G48" s="557"/>
      <c r="H48" s="557"/>
      <c r="I48" s="558"/>
      <c r="J48" s="139"/>
      <c r="K48" s="151">
        <f t="shared" ref="K48:N52" si="9">K49</f>
        <v>3000</v>
      </c>
      <c r="L48" s="151">
        <f t="shared" si="9"/>
        <v>0</v>
      </c>
      <c r="M48" s="151">
        <f t="shared" si="9"/>
        <v>3000</v>
      </c>
      <c r="N48" s="151">
        <f t="shared" si="9"/>
        <v>3000</v>
      </c>
    </row>
    <row r="49" spans="1:14" s="153" customFormat="1" ht="37.5">
      <c r="A49" s="140"/>
      <c r="B49" s="158" t="s">
        <v>124</v>
      </c>
      <c r="C49" s="150" t="s">
        <v>13</v>
      </c>
      <c r="D49" s="139" t="s">
        <v>90</v>
      </c>
      <c r="E49" s="139" t="s">
        <v>123</v>
      </c>
      <c r="F49" s="557" t="s">
        <v>125</v>
      </c>
      <c r="G49" s="557" t="s">
        <v>95</v>
      </c>
      <c r="H49" s="557" t="s">
        <v>96</v>
      </c>
      <c r="I49" s="558" t="s">
        <v>97</v>
      </c>
      <c r="J49" s="139"/>
      <c r="K49" s="151">
        <f t="shared" si="9"/>
        <v>3000</v>
      </c>
      <c r="L49" s="151">
        <f t="shared" si="9"/>
        <v>0</v>
      </c>
      <c r="M49" s="151">
        <f t="shared" si="9"/>
        <v>3000</v>
      </c>
      <c r="N49" s="151">
        <f t="shared" si="9"/>
        <v>3000</v>
      </c>
    </row>
    <row r="50" spans="1:14" s="153" customFormat="1" ht="37.5">
      <c r="A50" s="140"/>
      <c r="B50" s="683" t="s">
        <v>126</v>
      </c>
      <c r="C50" s="150" t="s">
        <v>13</v>
      </c>
      <c r="D50" s="139" t="s">
        <v>90</v>
      </c>
      <c r="E50" s="139" t="s">
        <v>123</v>
      </c>
      <c r="F50" s="557" t="s">
        <v>125</v>
      </c>
      <c r="G50" s="557" t="s">
        <v>98</v>
      </c>
      <c r="H50" s="557" t="s">
        <v>96</v>
      </c>
      <c r="I50" s="558" t="s">
        <v>97</v>
      </c>
      <c r="J50" s="139"/>
      <c r="K50" s="151">
        <f t="shared" si="9"/>
        <v>3000</v>
      </c>
      <c r="L50" s="151">
        <f t="shared" si="9"/>
        <v>0</v>
      </c>
      <c r="M50" s="151">
        <f t="shared" si="9"/>
        <v>3000</v>
      </c>
      <c r="N50" s="151">
        <f t="shared" si="9"/>
        <v>3000</v>
      </c>
    </row>
    <row r="51" spans="1:14" s="153" customFormat="1" ht="18.75">
      <c r="A51" s="140"/>
      <c r="B51" s="158" t="s">
        <v>122</v>
      </c>
      <c r="C51" s="150" t="s">
        <v>13</v>
      </c>
      <c r="D51" s="139" t="s">
        <v>90</v>
      </c>
      <c r="E51" s="139" t="s">
        <v>123</v>
      </c>
      <c r="F51" s="557" t="s">
        <v>125</v>
      </c>
      <c r="G51" s="557" t="s">
        <v>98</v>
      </c>
      <c r="H51" s="557" t="s">
        <v>90</v>
      </c>
      <c r="I51" s="558" t="s">
        <v>97</v>
      </c>
      <c r="J51" s="139"/>
      <c r="K51" s="151">
        <f t="shared" si="9"/>
        <v>3000</v>
      </c>
      <c r="L51" s="151">
        <f t="shared" si="9"/>
        <v>0</v>
      </c>
      <c r="M51" s="151">
        <f t="shared" si="9"/>
        <v>3000</v>
      </c>
      <c r="N51" s="151">
        <f t="shared" si="9"/>
        <v>3000</v>
      </c>
    </row>
    <row r="52" spans="1:14" s="153" customFormat="1" ht="18.75">
      <c r="A52" s="140"/>
      <c r="B52" s="158" t="s">
        <v>127</v>
      </c>
      <c r="C52" s="150" t="s">
        <v>13</v>
      </c>
      <c r="D52" s="139" t="s">
        <v>90</v>
      </c>
      <c r="E52" s="139" t="s">
        <v>123</v>
      </c>
      <c r="F52" s="557" t="s">
        <v>125</v>
      </c>
      <c r="G52" s="557" t="s">
        <v>98</v>
      </c>
      <c r="H52" s="557" t="s">
        <v>90</v>
      </c>
      <c r="I52" s="558" t="s">
        <v>128</v>
      </c>
      <c r="J52" s="139"/>
      <c r="K52" s="151">
        <f t="shared" si="9"/>
        <v>3000</v>
      </c>
      <c r="L52" s="151">
        <f t="shared" si="9"/>
        <v>0</v>
      </c>
      <c r="M52" s="151">
        <f t="shared" si="9"/>
        <v>3000</v>
      </c>
      <c r="N52" s="151">
        <f t="shared" si="9"/>
        <v>3000</v>
      </c>
    </row>
    <row r="53" spans="1:14" s="153" customFormat="1" ht="18.75">
      <c r="A53" s="140"/>
      <c r="B53" s="158" t="s">
        <v>110</v>
      </c>
      <c r="C53" s="150" t="s">
        <v>13</v>
      </c>
      <c r="D53" s="139" t="s">
        <v>90</v>
      </c>
      <c r="E53" s="139" t="s">
        <v>123</v>
      </c>
      <c r="F53" s="557" t="s">
        <v>125</v>
      </c>
      <c r="G53" s="557" t="s">
        <v>98</v>
      </c>
      <c r="H53" s="557" t="s">
        <v>90</v>
      </c>
      <c r="I53" s="558" t="s">
        <v>128</v>
      </c>
      <c r="J53" s="139" t="s">
        <v>111</v>
      </c>
      <c r="K53" s="151">
        <v>3000</v>
      </c>
      <c r="L53" s="151">
        <f>M53-K53</f>
        <v>0</v>
      </c>
      <c r="M53" s="151">
        <v>3000</v>
      </c>
      <c r="N53" s="151">
        <v>3000</v>
      </c>
    </row>
    <row r="54" spans="1:14" s="153" customFormat="1" ht="37.5">
      <c r="A54" s="140"/>
      <c r="B54" s="158" t="s">
        <v>137</v>
      </c>
      <c r="C54" s="150" t="s">
        <v>13</v>
      </c>
      <c r="D54" s="139" t="s">
        <v>119</v>
      </c>
      <c r="E54" s="139"/>
      <c r="F54" s="557"/>
      <c r="G54" s="557"/>
      <c r="H54" s="557"/>
      <c r="I54" s="558"/>
      <c r="J54" s="139"/>
      <c r="K54" s="151">
        <f t="shared" ref="K54" si="10">K61+K55</f>
        <v>9040.2000000000007</v>
      </c>
      <c r="L54" s="151">
        <f>L61+L55</f>
        <v>0</v>
      </c>
      <c r="M54" s="151">
        <f t="shared" ref="M54:N54" si="11">M61+M55</f>
        <v>9040.2000000000007</v>
      </c>
      <c r="N54" s="151">
        <f t="shared" si="11"/>
        <v>9006.7000000000007</v>
      </c>
    </row>
    <row r="55" spans="1:14" s="153" customFormat="1" ht="75">
      <c r="A55" s="140"/>
      <c r="B55" s="149" t="s">
        <v>138</v>
      </c>
      <c r="C55" s="150" t="s">
        <v>13</v>
      </c>
      <c r="D55" s="139" t="s">
        <v>119</v>
      </c>
      <c r="E55" s="139" t="s">
        <v>139</v>
      </c>
      <c r="F55" s="556"/>
      <c r="G55" s="557"/>
      <c r="H55" s="557"/>
      <c r="I55" s="558"/>
      <c r="J55" s="139"/>
      <c r="K55" s="151">
        <f t="shared" ref="K55:N58" si="12">K56</f>
        <v>2643.1</v>
      </c>
      <c r="L55" s="151">
        <f t="shared" si="12"/>
        <v>0</v>
      </c>
      <c r="M55" s="151">
        <f t="shared" si="12"/>
        <v>2643.1</v>
      </c>
      <c r="N55" s="151">
        <f t="shared" si="12"/>
        <v>2643.1</v>
      </c>
    </row>
    <row r="56" spans="1:14" s="153" customFormat="1" ht="56.25">
      <c r="A56" s="140"/>
      <c r="B56" s="149" t="s">
        <v>140</v>
      </c>
      <c r="C56" s="150" t="s">
        <v>13</v>
      </c>
      <c r="D56" s="139" t="s">
        <v>119</v>
      </c>
      <c r="E56" s="139" t="s">
        <v>139</v>
      </c>
      <c r="F56" s="556" t="s">
        <v>141</v>
      </c>
      <c r="G56" s="557" t="s">
        <v>95</v>
      </c>
      <c r="H56" s="557" t="s">
        <v>96</v>
      </c>
      <c r="I56" s="558" t="s">
        <v>97</v>
      </c>
      <c r="J56" s="139"/>
      <c r="K56" s="151">
        <f t="shared" si="12"/>
        <v>2643.1</v>
      </c>
      <c r="L56" s="151">
        <f t="shared" si="12"/>
        <v>0</v>
      </c>
      <c r="M56" s="151">
        <f t="shared" si="12"/>
        <v>2643.1</v>
      </c>
      <c r="N56" s="151">
        <f t="shared" si="12"/>
        <v>2643.1</v>
      </c>
    </row>
    <row r="57" spans="1:14" s="153" customFormat="1" ht="75">
      <c r="A57" s="140"/>
      <c r="B57" s="157" t="s">
        <v>142</v>
      </c>
      <c r="C57" s="150" t="s">
        <v>13</v>
      </c>
      <c r="D57" s="139" t="s">
        <v>119</v>
      </c>
      <c r="E57" s="139" t="s">
        <v>139</v>
      </c>
      <c r="F57" s="556" t="s">
        <v>141</v>
      </c>
      <c r="G57" s="557" t="s">
        <v>98</v>
      </c>
      <c r="H57" s="557" t="s">
        <v>96</v>
      </c>
      <c r="I57" s="558" t="s">
        <v>97</v>
      </c>
      <c r="J57" s="139"/>
      <c r="K57" s="151">
        <f t="shared" si="12"/>
        <v>2643.1</v>
      </c>
      <c r="L57" s="151">
        <f t="shared" si="12"/>
        <v>0</v>
      </c>
      <c r="M57" s="151">
        <f t="shared" si="12"/>
        <v>2643.1</v>
      </c>
      <c r="N57" s="151">
        <f t="shared" si="12"/>
        <v>2643.1</v>
      </c>
    </row>
    <row r="58" spans="1:14" s="153" customFormat="1" ht="93.75">
      <c r="A58" s="140"/>
      <c r="B58" s="149" t="s">
        <v>143</v>
      </c>
      <c r="C58" s="150" t="s">
        <v>13</v>
      </c>
      <c r="D58" s="139" t="s">
        <v>119</v>
      </c>
      <c r="E58" s="139" t="s">
        <v>139</v>
      </c>
      <c r="F58" s="556" t="s">
        <v>141</v>
      </c>
      <c r="G58" s="557" t="s">
        <v>98</v>
      </c>
      <c r="H58" s="557" t="s">
        <v>90</v>
      </c>
      <c r="I58" s="558" t="s">
        <v>97</v>
      </c>
      <c r="J58" s="139"/>
      <c r="K58" s="151">
        <f t="shared" si="12"/>
        <v>2643.1</v>
      </c>
      <c r="L58" s="151">
        <f>L59</f>
        <v>0</v>
      </c>
      <c r="M58" s="151">
        <f t="shared" si="12"/>
        <v>2643.1</v>
      </c>
      <c r="N58" s="151">
        <f t="shared" si="12"/>
        <v>2643.1</v>
      </c>
    </row>
    <row r="59" spans="1:14" s="153" customFormat="1" ht="112.5">
      <c r="A59" s="140"/>
      <c r="B59" s="149" t="s">
        <v>492</v>
      </c>
      <c r="C59" s="150" t="s">
        <v>13</v>
      </c>
      <c r="D59" s="139" t="s">
        <v>119</v>
      </c>
      <c r="E59" s="139" t="s">
        <v>139</v>
      </c>
      <c r="F59" s="556" t="s">
        <v>141</v>
      </c>
      <c r="G59" s="557" t="s">
        <v>98</v>
      </c>
      <c r="H59" s="557" t="s">
        <v>90</v>
      </c>
      <c r="I59" s="558" t="s">
        <v>471</v>
      </c>
      <c r="J59" s="139"/>
      <c r="K59" s="151">
        <f t="shared" ref="K59:N59" si="13">K60</f>
        <v>2643.1</v>
      </c>
      <c r="L59" s="151">
        <f>L60</f>
        <v>0</v>
      </c>
      <c r="M59" s="151">
        <f t="shared" si="13"/>
        <v>2643.1</v>
      </c>
      <c r="N59" s="151">
        <f t="shared" si="13"/>
        <v>2643.1</v>
      </c>
    </row>
    <row r="60" spans="1:14" s="153" customFormat="1" ht="18.75">
      <c r="A60" s="140"/>
      <c r="B60" s="149" t="s">
        <v>186</v>
      </c>
      <c r="C60" s="150" t="s">
        <v>13</v>
      </c>
      <c r="D60" s="139" t="s">
        <v>119</v>
      </c>
      <c r="E60" s="139" t="s">
        <v>139</v>
      </c>
      <c r="F60" s="556" t="s">
        <v>141</v>
      </c>
      <c r="G60" s="557" t="s">
        <v>98</v>
      </c>
      <c r="H60" s="557" t="s">
        <v>90</v>
      </c>
      <c r="I60" s="558" t="s">
        <v>471</v>
      </c>
      <c r="J60" s="139" t="s">
        <v>187</v>
      </c>
      <c r="K60" s="151">
        <v>2643.1</v>
      </c>
      <c r="L60" s="151">
        <f>M60-K60</f>
        <v>0</v>
      </c>
      <c r="M60" s="151">
        <v>2643.1</v>
      </c>
      <c r="N60" s="151">
        <v>2643.1</v>
      </c>
    </row>
    <row r="61" spans="1:14" s="153" customFormat="1" ht="56.25">
      <c r="A61" s="140"/>
      <c r="B61" s="684" t="s">
        <v>148</v>
      </c>
      <c r="C61" s="150" t="s">
        <v>13</v>
      </c>
      <c r="D61" s="139" t="s">
        <v>119</v>
      </c>
      <c r="E61" s="139" t="s">
        <v>149</v>
      </c>
      <c r="F61" s="557"/>
      <c r="G61" s="557"/>
      <c r="H61" s="557"/>
      <c r="I61" s="558"/>
      <c r="J61" s="139"/>
      <c r="K61" s="151">
        <f t="shared" ref="K61:N61" si="14">K62</f>
        <v>6397.1</v>
      </c>
      <c r="L61" s="151">
        <f t="shared" si="14"/>
        <v>0</v>
      </c>
      <c r="M61" s="151">
        <f t="shared" si="14"/>
        <v>6397.1</v>
      </c>
      <c r="N61" s="151">
        <f t="shared" si="14"/>
        <v>6363.6</v>
      </c>
    </row>
    <row r="62" spans="1:14" s="153" customFormat="1" ht="56.25">
      <c r="A62" s="140"/>
      <c r="B62" s="158" t="s">
        <v>140</v>
      </c>
      <c r="C62" s="150" t="s">
        <v>13</v>
      </c>
      <c r="D62" s="139" t="s">
        <v>119</v>
      </c>
      <c r="E62" s="139" t="s">
        <v>149</v>
      </c>
      <c r="F62" s="557" t="s">
        <v>141</v>
      </c>
      <c r="G62" s="557" t="s">
        <v>95</v>
      </c>
      <c r="H62" s="557" t="s">
        <v>96</v>
      </c>
      <c r="I62" s="558" t="s">
        <v>97</v>
      </c>
      <c r="J62" s="139"/>
      <c r="K62" s="151">
        <f t="shared" ref="K62" si="15">K67+K63</f>
        <v>6397.1</v>
      </c>
      <c r="L62" s="151">
        <f>L67+L63</f>
        <v>0</v>
      </c>
      <c r="M62" s="151">
        <f t="shared" ref="M62:N62" si="16">M67+M63</f>
        <v>6397.1</v>
      </c>
      <c r="N62" s="151">
        <f t="shared" si="16"/>
        <v>6363.6</v>
      </c>
    </row>
    <row r="63" spans="1:14" s="153" customFormat="1" ht="37.5">
      <c r="A63" s="140"/>
      <c r="B63" s="156" t="s">
        <v>188</v>
      </c>
      <c r="C63" s="150" t="s">
        <v>13</v>
      </c>
      <c r="D63" s="139" t="s">
        <v>119</v>
      </c>
      <c r="E63" s="139" t="s">
        <v>149</v>
      </c>
      <c r="F63" s="556" t="s">
        <v>141</v>
      </c>
      <c r="G63" s="557" t="s">
        <v>150</v>
      </c>
      <c r="H63" s="557" t="s">
        <v>96</v>
      </c>
      <c r="I63" s="558" t="s">
        <v>97</v>
      </c>
      <c r="J63" s="139"/>
      <c r="K63" s="151">
        <f t="shared" ref="K63:N63" si="17">K64</f>
        <v>247</v>
      </c>
      <c r="L63" s="151">
        <f>L64</f>
        <v>0</v>
      </c>
      <c r="M63" s="151">
        <f t="shared" si="17"/>
        <v>247</v>
      </c>
      <c r="N63" s="151">
        <f t="shared" si="17"/>
        <v>247</v>
      </c>
    </row>
    <row r="64" spans="1:14" s="153" customFormat="1" ht="56.25">
      <c r="A64" s="140"/>
      <c r="B64" s="154" t="s">
        <v>189</v>
      </c>
      <c r="C64" s="150" t="s">
        <v>13</v>
      </c>
      <c r="D64" s="139" t="s">
        <v>119</v>
      </c>
      <c r="E64" s="139" t="s">
        <v>149</v>
      </c>
      <c r="F64" s="556" t="s">
        <v>141</v>
      </c>
      <c r="G64" s="557" t="s">
        <v>150</v>
      </c>
      <c r="H64" s="557" t="s">
        <v>92</v>
      </c>
      <c r="I64" s="558" t="s">
        <v>97</v>
      </c>
      <c r="J64" s="139"/>
      <c r="K64" s="151">
        <f t="shared" ref="K64:N65" si="18">K65</f>
        <v>247</v>
      </c>
      <c r="L64" s="151">
        <f t="shared" si="18"/>
        <v>0</v>
      </c>
      <c r="M64" s="151">
        <f t="shared" si="18"/>
        <v>247</v>
      </c>
      <c r="N64" s="151">
        <f t="shared" si="18"/>
        <v>247</v>
      </c>
    </row>
    <row r="65" spans="1:14" s="153" customFormat="1" ht="37.5">
      <c r="A65" s="140"/>
      <c r="B65" s="154" t="s">
        <v>190</v>
      </c>
      <c r="C65" s="150" t="s">
        <v>13</v>
      </c>
      <c r="D65" s="139" t="s">
        <v>119</v>
      </c>
      <c r="E65" s="139" t="s">
        <v>149</v>
      </c>
      <c r="F65" s="556" t="s">
        <v>141</v>
      </c>
      <c r="G65" s="557" t="s">
        <v>150</v>
      </c>
      <c r="H65" s="557" t="s">
        <v>92</v>
      </c>
      <c r="I65" s="558" t="s">
        <v>152</v>
      </c>
      <c r="J65" s="139"/>
      <c r="K65" s="151">
        <f t="shared" si="18"/>
        <v>247</v>
      </c>
      <c r="L65" s="151">
        <f>L66</f>
        <v>0</v>
      </c>
      <c r="M65" s="151">
        <f t="shared" si="18"/>
        <v>247</v>
      </c>
      <c r="N65" s="151">
        <f t="shared" si="18"/>
        <v>247</v>
      </c>
    </row>
    <row r="66" spans="1:14" s="153" customFormat="1" ht="33" customHeight="1">
      <c r="A66" s="140"/>
      <c r="B66" s="149" t="s">
        <v>108</v>
      </c>
      <c r="C66" s="150" t="s">
        <v>13</v>
      </c>
      <c r="D66" s="139" t="s">
        <v>119</v>
      </c>
      <c r="E66" s="139" t="s">
        <v>149</v>
      </c>
      <c r="F66" s="556" t="s">
        <v>141</v>
      </c>
      <c r="G66" s="557" t="s">
        <v>150</v>
      </c>
      <c r="H66" s="557" t="s">
        <v>92</v>
      </c>
      <c r="I66" s="558" t="s">
        <v>152</v>
      </c>
      <c r="J66" s="139" t="s">
        <v>109</v>
      </c>
      <c r="K66" s="151">
        <v>247</v>
      </c>
      <c r="L66" s="151">
        <f>M66-K66</f>
        <v>0</v>
      </c>
      <c r="M66" s="151">
        <v>247</v>
      </c>
      <c r="N66" s="151">
        <v>247</v>
      </c>
    </row>
    <row r="67" spans="1:14" s="153" customFormat="1" ht="75">
      <c r="A67" s="140"/>
      <c r="B67" s="156" t="s">
        <v>563</v>
      </c>
      <c r="C67" s="150" t="s">
        <v>13</v>
      </c>
      <c r="D67" s="139" t="s">
        <v>119</v>
      </c>
      <c r="E67" s="139" t="s">
        <v>149</v>
      </c>
      <c r="F67" s="557" t="s">
        <v>141</v>
      </c>
      <c r="G67" s="557" t="s">
        <v>83</v>
      </c>
      <c r="H67" s="557" t="s">
        <v>96</v>
      </c>
      <c r="I67" s="558" t="s">
        <v>97</v>
      </c>
      <c r="J67" s="139"/>
      <c r="K67" s="151">
        <f t="shared" ref="K67:N68" si="19">K68</f>
        <v>6150.1</v>
      </c>
      <c r="L67" s="151">
        <f t="shared" si="19"/>
        <v>0</v>
      </c>
      <c r="M67" s="151">
        <f t="shared" si="19"/>
        <v>6150.1</v>
      </c>
      <c r="N67" s="151">
        <f t="shared" si="19"/>
        <v>6116.6</v>
      </c>
    </row>
    <row r="68" spans="1:14" s="153" customFormat="1" ht="93.75">
      <c r="A68" s="140"/>
      <c r="B68" s="683" t="s">
        <v>464</v>
      </c>
      <c r="C68" s="150" t="s">
        <v>13</v>
      </c>
      <c r="D68" s="139" t="s">
        <v>119</v>
      </c>
      <c r="E68" s="139" t="s">
        <v>149</v>
      </c>
      <c r="F68" s="557" t="s">
        <v>141</v>
      </c>
      <c r="G68" s="557" t="s">
        <v>83</v>
      </c>
      <c r="H68" s="557" t="s">
        <v>90</v>
      </c>
      <c r="I68" s="558" t="s">
        <v>97</v>
      </c>
      <c r="J68" s="139"/>
      <c r="K68" s="151">
        <f t="shared" si="19"/>
        <v>6150.1</v>
      </c>
      <c r="L68" s="151">
        <f t="shared" si="19"/>
        <v>0</v>
      </c>
      <c r="M68" s="151">
        <f t="shared" si="19"/>
        <v>6150.1</v>
      </c>
      <c r="N68" s="151">
        <f t="shared" si="19"/>
        <v>6116.6</v>
      </c>
    </row>
    <row r="69" spans="1:14" s="153" customFormat="1" ht="69.599999999999994" customHeight="1">
      <c r="A69" s="140"/>
      <c r="B69" s="683" t="s">
        <v>151</v>
      </c>
      <c r="C69" s="150" t="s">
        <v>13</v>
      </c>
      <c r="D69" s="139" t="s">
        <v>119</v>
      </c>
      <c r="E69" s="139" t="s">
        <v>149</v>
      </c>
      <c r="F69" s="557" t="s">
        <v>141</v>
      </c>
      <c r="G69" s="557" t="s">
        <v>83</v>
      </c>
      <c r="H69" s="557" t="s">
        <v>90</v>
      </c>
      <c r="I69" s="558" t="s">
        <v>153</v>
      </c>
      <c r="J69" s="139"/>
      <c r="K69" s="151">
        <f t="shared" ref="K69" si="20">K70+K71</f>
        <v>6150.1</v>
      </c>
      <c r="L69" s="151">
        <f>L70+L71</f>
        <v>0</v>
      </c>
      <c r="M69" s="151">
        <f t="shared" ref="M69:N69" si="21">M70+M71</f>
        <v>6150.1</v>
      </c>
      <c r="N69" s="151">
        <f t="shared" si="21"/>
        <v>6116.6</v>
      </c>
    </row>
    <row r="70" spans="1:14" s="153" customFormat="1" ht="91.15" customHeight="1">
      <c r="A70" s="140"/>
      <c r="B70" s="158" t="s">
        <v>102</v>
      </c>
      <c r="C70" s="150" t="s">
        <v>13</v>
      </c>
      <c r="D70" s="139" t="s">
        <v>119</v>
      </c>
      <c r="E70" s="139" t="s">
        <v>149</v>
      </c>
      <c r="F70" s="557" t="s">
        <v>141</v>
      </c>
      <c r="G70" s="557" t="s">
        <v>83</v>
      </c>
      <c r="H70" s="557" t="s">
        <v>90</v>
      </c>
      <c r="I70" s="558" t="s">
        <v>153</v>
      </c>
      <c r="J70" s="139" t="s">
        <v>103</v>
      </c>
      <c r="K70" s="151">
        <v>6116.6</v>
      </c>
      <c r="L70" s="151">
        <f t="shared" ref="L70:L71" si="22">M70-K70</f>
        <v>0</v>
      </c>
      <c r="M70" s="151">
        <v>6116.6</v>
      </c>
      <c r="N70" s="151">
        <v>6116.6</v>
      </c>
    </row>
    <row r="71" spans="1:14" s="153" customFormat="1" ht="32.450000000000003" customHeight="1">
      <c r="A71" s="140"/>
      <c r="B71" s="158" t="s">
        <v>108</v>
      </c>
      <c r="C71" s="150" t="s">
        <v>13</v>
      </c>
      <c r="D71" s="139" t="s">
        <v>119</v>
      </c>
      <c r="E71" s="139" t="s">
        <v>149</v>
      </c>
      <c r="F71" s="557" t="s">
        <v>141</v>
      </c>
      <c r="G71" s="557" t="s">
        <v>83</v>
      </c>
      <c r="H71" s="557" t="s">
        <v>90</v>
      </c>
      <c r="I71" s="558" t="s">
        <v>153</v>
      </c>
      <c r="J71" s="139" t="s">
        <v>109</v>
      </c>
      <c r="K71" s="151">
        <v>33.5</v>
      </c>
      <c r="L71" s="151">
        <f t="shared" si="22"/>
        <v>0</v>
      </c>
      <c r="M71" s="151">
        <v>33.5</v>
      </c>
      <c r="N71" s="151">
        <v>0</v>
      </c>
    </row>
    <row r="72" spans="1:14" s="153" customFormat="1" ht="18.75">
      <c r="A72" s="140"/>
      <c r="B72" s="158" t="s">
        <v>154</v>
      </c>
      <c r="C72" s="150" t="s">
        <v>13</v>
      </c>
      <c r="D72" s="139" t="s">
        <v>105</v>
      </c>
      <c r="E72" s="139"/>
      <c r="F72" s="557"/>
      <c r="G72" s="557"/>
      <c r="H72" s="557"/>
      <c r="I72" s="558"/>
      <c r="J72" s="139"/>
      <c r="K72" s="151">
        <f t="shared" ref="K72" si="23">K73+K82+K88</f>
        <v>20339.900000000001</v>
      </c>
      <c r="L72" s="151">
        <f t="shared" ref="L72:N72" si="24">L73+L82+L88</f>
        <v>39</v>
      </c>
      <c r="M72" s="151">
        <f t="shared" si="24"/>
        <v>20378.900000000001</v>
      </c>
      <c r="N72" s="151">
        <f t="shared" si="24"/>
        <v>20397</v>
      </c>
    </row>
    <row r="73" spans="1:14" s="136" customFormat="1" ht="18.75">
      <c r="A73" s="140"/>
      <c r="B73" s="158" t="s">
        <v>155</v>
      </c>
      <c r="C73" s="150" t="s">
        <v>13</v>
      </c>
      <c r="D73" s="139" t="s">
        <v>105</v>
      </c>
      <c r="E73" s="139" t="s">
        <v>121</v>
      </c>
      <c r="F73" s="557"/>
      <c r="G73" s="557"/>
      <c r="H73" s="557"/>
      <c r="I73" s="558"/>
      <c r="J73" s="139"/>
      <c r="K73" s="151">
        <f t="shared" ref="K73:N74" si="25">K74</f>
        <v>11958.5</v>
      </c>
      <c r="L73" s="151">
        <f t="shared" si="25"/>
        <v>0</v>
      </c>
      <c r="M73" s="151">
        <f t="shared" si="25"/>
        <v>11958.5</v>
      </c>
      <c r="N73" s="151">
        <f t="shared" si="25"/>
        <v>11958.5</v>
      </c>
    </row>
    <row r="74" spans="1:14" s="153" customFormat="1" ht="56.25">
      <c r="A74" s="140"/>
      <c r="B74" s="158" t="s">
        <v>156</v>
      </c>
      <c r="C74" s="150" t="s">
        <v>13</v>
      </c>
      <c r="D74" s="139" t="s">
        <v>105</v>
      </c>
      <c r="E74" s="139" t="s">
        <v>121</v>
      </c>
      <c r="F74" s="557" t="s">
        <v>123</v>
      </c>
      <c r="G74" s="557" t="s">
        <v>95</v>
      </c>
      <c r="H74" s="557" t="s">
        <v>96</v>
      </c>
      <c r="I74" s="558" t="s">
        <v>97</v>
      </c>
      <c r="J74" s="139"/>
      <c r="K74" s="151">
        <f t="shared" si="25"/>
        <v>11958.5</v>
      </c>
      <c r="L74" s="151">
        <f t="shared" si="25"/>
        <v>0</v>
      </c>
      <c r="M74" s="151">
        <f t="shared" si="25"/>
        <v>11958.5</v>
      </c>
      <c r="N74" s="151">
        <f t="shared" si="25"/>
        <v>11958.5</v>
      </c>
    </row>
    <row r="75" spans="1:14" s="136" customFormat="1" ht="37.5">
      <c r="A75" s="140"/>
      <c r="B75" s="158" t="s">
        <v>491</v>
      </c>
      <c r="C75" s="150" t="s">
        <v>13</v>
      </c>
      <c r="D75" s="139" t="s">
        <v>105</v>
      </c>
      <c r="E75" s="139" t="s">
        <v>121</v>
      </c>
      <c r="F75" s="557" t="s">
        <v>123</v>
      </c>
      <c r="G75" s="557" t="s">
        <v>98</v>
      </c>
      <c r="H75" s="557" t="s">
        <v>96</v>
      </c>
      <c r="I75" s="558" t="s">
        <v>97</v>
      </c>
      <c r="J75" s="139"/>
      <c r="K75" s="151">
        <f>K76+K79</f>
        <v>11958.5</v>
      </c>
      <c r="L75" s="151">
        <f>L76+L79</f>
        <v>0</v>
      </c>
      <c r="M75" s="151">
        <f>M76+M79</f>
        <v>11958.5</v>
      </c>
      <c r="N75" s="151">
        <f>N76+N79</f>
        <v>11958.5</v>
      </c>
    </row>
    <row r="76" spans="1:14" s="136" customFormat="1" ht="56.25">
      <c r="A76" s="140"/>
      <c r="B76" s="158" t="s">
        <v>157</v>
      </c>
      <c r="C76" s="150" t="s">
        <v>13</v>
      </c>
      <c r="D76" s="139" t="s">
        <v>105</v>
      </c>
      <c r="E76" s="139" t="s">
        <v>121</v>
      </c>
      <c r="F76" s="557" t="s">
        <v>123</v>
      </c>
      <c r="G76" s="557" t="s">
        <v>98</v>
      </c>
      <c r="H76" s="557" t="s">
        <v>90</v>
      </c>
      <c r="I76" s="558" t="s">
        <v>97</v>
      </c>
      <c r="J76" s="139"/>
      <c r="K76" s="151">
        <f t="shared" ref="K76:N77" si="26">K77</f>
        <v>11860</v>
      </c>
      <c r="L76" s="151">
        <f t="shared" si="26"/>
        <v>0</v>
      </c>
      <c r="M76" s="151">
        <f t="shared" si="26"/>
        <v>11860</v>
      </c>
      <c r="N76" s="151">
        <f t="shared" si="26"/>
        <v>11860</v>
      </c>
    </row>
    <row r="77" spans="1:14" s="136" customFormat="1" ht="18.75">
      <c r="A77" s="140"/>
      <c r="B77" s="149" t="s">
        <v>587</v>
      </c>
      <c r="C77" s="150" t="s">
        <v>13</v>
      </c>
      <c r="D77" s="139" t="s">
        <v>105</v>
      </c>
      <c r="E77" s="139" t="s">
        <v>121</v>
      </c>
      <c r="F77" s="557" t="s">
        <v>123</v>
      </c>
      <c r="G77" s="557" t="s">
        <v>98</v>
      </c>
      <c r="H77" s="557" t="s">
        <v>90</v>
      </c>
      <c r="I77" s="558" t="s">
        <v>158</v>
      </c>
      <c r="J77" s="139"/>
      <c r="K77" s="151">
        <f t="shared" si="26"/>
        <v>11860</v>
      </c>
      <c r="L77" s="151">
        <f t="shared" si="26"/>
        <v>0</v>
      </c>
      <c r="M77" s="151">
        <f t="shared" si="26"/>
        <v>11860</v>
      </c>
      <c r="N77" s="151">
        <f t="shared" si="26"/>
        <v>11860</v>
      </c>
    </row>
    <row r="78" spans="1:14" s="153" customFormat="1" ht="18.75">
      <c r="A78" s="140"/>
      <c r="B78" s="158" t="s">
        <v>110</v>
      </c>
      <c r="C78" s="150" t="s">
        <v>13</v>
      </c>
      <c r="D78" s="139" t="s">
        <v>105</v>
      </c>
      <c r="E78" s="139" t="s">
        <v>121</v>
      </c>
      <c r="F78" s="557" t="s">
        <v>123</v>
      </c>
      <c r="G78" s="557" t="s">
        <v>98</v>
      </c>
      <c r="H78" s="557" t="s">
        <v>90</v>
      </c>
      <c r="I78" s="558" t="s">
        <v>158</v>
      </c>
      <c r="J78" s="139" t="s">
        <v>111</v>
      </c>
      <c r="K78" s="151">
        <v>11860</v>
      </c>
      <c r="L78" s="151">
        <f>M78-K78</f>
        <v>0</v>
      </c>
      <c r="M78" s="151">
        <v>11860</v>
      </c>
      <c r="N78" s="151">
        <v>11860</v>
      </c>
    </row>
    <row r="79" spans="1:14" s="136" customFormat="1" ht="75">
      <c r="A79" s="140"/>
      <c r="B79" s="158" t="s">
        <v>159</v>
      </c>
      <c r="C79" s="150" t="s">
        <v>13</v>
      </c>
      <c r="D79" s="139" t="s">
        <v>105</v>
      </c>
      <c r="E79" s="139" t="s">
        <v>121</v>
      </c>
      <c r="F79" s="557" t="s">
        <v>123</v>
      </c>
      <c r="G79" s="557" t="s">
        <v>98</v>
      </c>
      <c r="H79" s="557" t="s">
        <v>92</v>
      </c>
      <c r="I79" s="558" t="s">
        <v>97</v>
      </c>
      <c r="J79" s="139"/>
      <c r="K79" s="151">
        <f t="shared" ref="K79:N80" si="27">K80</f>
        <v>98.5</v>
      </c>
      <c r="L79" s="151">
        <f t="shared" si="27"/>
        <v>0</v>
      </c>
      <c r="M79" s="151">
        <f t="shared" si="27"/>
        <v>98.5</v>
      </c>
      <c r="N79" s="151">
        <f t="shared" si="27"/>
        <v>98.5</v>
      </c>
    </row>
    <row r="80" spans="1:14" s="136" customFormat="1" ht="160.15" customHeight="1">
      <c r="A80" s="140"/>
      <c r="B80" s="149" t="s">
        <v>602</v>
      </c>
      <c r="C80" s="150" t="s">
        <v>13</v>
      </c>
      <c r="D80" s="139" t="s">
        <v>105</v>
      </c>
      <c r="E80" s="139" t="s">
        <v>121</v>
      </c>
      <c r="F80" s="557" t="s">
        <v>123</v>
      </c>
      <c r="G80" s="557" t="s">
        <v>98</v>
      </c>
      <c r="H80" s="557" t="s">
        <v>92</v>
      </c>
      <c r="I80" s="558" t="s">
        <v>160</v>
      </c>
      <c r="J80" s="139"/>
      <c r="K80" s="151">
        <f t="shared" si="27"/>
        <v>98.5</v>
      </c>
      <c r="L80" s="151">
        <f t="shared" si="27"/>
        <v>0</v>
      </c>
      <c r="M80" s="151">
        <f t="shared" si="27"/>
        <v>98.5</v>
      </c>
      <c r="N80" s="151">
        <f t="shared" si="27"/>
        <v>98.5</v>
      </c>
    </row>
    <row r="81" spans="1:14" s="153" customFormat="1" ht="34.9" customHeight="1">
      <c r="A81" s="140"/>
      <c r="B81" s="158" t="s">
        <v>108</v>
      </c>
      <c r="C81" s="150" t="s">
        <v>13</v>
      </c>
      <c r="D81" s="139" t="s">
        <v>105</v>
      </c>
      <c r="E81" s="139" t="s">
        <v>121</v>
      </c>
      <c r="F81" s="557" t="s">
        <v>123</v>
      </c>
      <c r="G81" s="557" t="s">
        <v>98</v>
      </c>
      <c r="H81" s="557" t="s">
        <v>92</v>
      </c>
      <c r="I81" s="558" t="s">
        <v>160</v>
      </c>
      <c r="J81" s="139" t="s">
        <v>109</v>
      </c>
      <c r="K81" s="151">
        <v>98.5</v>
      </c>
      <c r="L81" s="151">
        <f>M81-K81</f>
        <v>0</v>
      </c>
      <c r="M81" s="151">
        <v>98.5</v>
      </c>
      <c r="N81" s="151">
        <v>98.5</v>
      </c>
    </row>
    <row r="82" spans="1:14" s="136" customFormat="1" ht="18.75">
      <c r="A82" s="140"/>
      <c r="B82" s="684" t="s">
        <v>161</v>
      </c>
      <c r="C82" s="150" t="s">
        <v>13</v>
      </c>
      <c r="D82" s="139" t="s">
        <v>105</v>
      </c>
      <c r="E82" s="139" t="s">
        <v>139</v>
      </c>
      <c r="F82" s="557"/>
      <c r="G82" s="557"/>
      <c r="H82" s="557"/>
      <c r="I82" s="558"/>
      <c r="J82" s="139"/>
      <c r="K82" s="151">
        <f t="shared" ref="K82:N86" si="28">K83</f>
        <v>4174.1000000000004</v>
      </c>
      <c r="L82" s="151">
        <f t="shared" si="28"/>
        <v>0</v>
      </c>
      <c r="M82" s="151">
        <f t="shared" si="28"/>
        <v>4174.1000000000004</v>
      </c>
      <c r="N82" s="151">
        <f t="shared" si="28"/>
        <v>4240.8</v>
      </c>
    </row>
    <row r="83" spans="1:14" s="153" customFormat="1" ht="56.25">
      <c r="A83" s="140"/>
      <c r="B83" s="158" t="s">
        <v>162</v>
      </c>
      <c r="C83" s="150" t="s">
        <v>13</v>
      </c>
      <c r="D83" s="139" t="s">
        <v>105</v>
      </c>
      <c r="E83" s="139" t="s">
        <v>139</v>
      </c>
      <c r="F83" s="557" t="s">
        <v>163</v>
      </c>
      <c r="G83" s="557" t="s">
        <v>95</v>
      </c>
      <c r="H83" s="557" t="s">
        <v>96</v>
      </c>
      <c r="I83" s="558" t="s">
        <v>97</v>
      </c>
      <c r="J83" s="139"/>
      <c r="K83" s="151">
        <f t="shared" si="28"/>
        <v>4174.1000000000004</v>
      </c>
      <c r="L83" s="151">
        <f t="shared" si="28"/>
        <v>0</v>
      </c>
      <c r="M83" s="151">
        <f t="shared" si="28"/>
        <v>4174.1000000000004</v>
      </c>
      <c r="N83" s="151">
        <f t="shared" si="28"/>
        <v>4240.8</v>
      </c>
    </row>
    <row r="84" spans="1:14" s="136" customFormat="1" ht="37.5">
      <c r="A84" s="140"/>
      <c r="B84" s="158" t="s">
        <v>491</v>
      </c>
      <c r="C84" s="150" t="s">
        <v>13</v>
      </c>
      <c r="D84" s="139" t="s">
        <v>105</v>
      </c>
      <c r="E84" s="139" t="s">
        <v>139</v>
      </c>
      <c r="F84" s="557" t="s">
        <v>163</v>
      </c>
      <c r="G84" s="557" t="s">
        <v>98</v>
      </c>
      <c r="H84" s="557" t="s">
        <v>96</v>
      </c>
      <c r="I84" s="558" t="s">
        <v>97</v>
      </c>
      <c r="J84" s="139"/>
      <c r="K84" s="151">
        <f t="shared" si="28"/>
        <v>4174.1000000000004</v>
      </c>
      <c r="L84" s="151">
        <f t="shared" si="28"/>
        <v>0</v>
      </c>
      <c r="M84" s="151">
        <f t="shared" si="28"/>
        <v>4174.1000000000004</v>
      </c>
      <c r="N84" s="151">
        <f t="shared" si="28"/>
        <v>4240.8</v>
      </c>
    </row>
    <row r="85" spans="1:14" s="136" customFormat="1" ht="93.75">
      <c r="A85" s="140"/>
      <c r="B85" s="158" t="s">
        <v>164</v>
      </c>
      <c r="C85" s="150" t="s">
        <v>13</v>
      </c>
      <c r="D85" s="139" t="s">
        <v>105</v>
      </c>
      <c r="E85" s="139" t="s">
        <v>139</v>
      </c>
      <c r="F85" s="557" t="s">
        <v>163</v>
      </c>
      <c r="G85" s="557" t="s">
        <v>98</v>
      </c>
      <c r="H85" s="557" t="s">
        <v>90</v>
      </c>
      <c r="I85" s="558" t="s">
        <v>97</v>
      </c>
      <c r="J85" s="139"/>
      <c r="K85" s="151">
        <f t="shared" si="28"/>
        <v>4174.1000000000004</v>
      </c>
      <c r="L85" s="151">
        <f t="shared" si="28"/>
        <v>0</v>
      </c>
      <c r="M85" s="151">
        <f t="shared" si="28"/>
        <v>4174.1000000000004</v>
      </c>
      <c r="N85" s="151">
        <f t="shared" si="28"/>
        <v>4240.8</v>
      </c>
    </row>
    <row r="86" spans="1:14" s="136" customFormat="1" ht="93.75">
      <c r="A86" s="140"/>
      <c r="B86" s="685" t="s">
        <v>165</v>
      </c>
      <c r="C86" s="150" t="s">
        <v>13</v>
      </c>
      <c r="D86" s="139" t="s">
        <v>105</v>
      </c>
      <c r="E86" s="139" t="s">
        <v>139</v>
      </c>
      <c r="F86" s="557" t="s">
        <v>163</v>
      </c>
      <c r="G86" s="557" t="s">
        <v>98</v>
      </c>
      <c r="H86" s="557" t="s">
        <v>90</v>
      </c>
      <c r="I86" s="558" t="s">
        <v>166</v>
      </c>
      <c r="J86" s="139"/>
      <c r="K86" s="151">
        <f t="shared" si="28"/>
        <v>4174.1000000000004</v>
      </c>
      <c r="L86" s="151">
        <f t="shared" si="28"/>
        <v>0</v>
      </c>
      <c r="M86" s="151">
        <f t="shared" si="28"/>
        <v>4174.1000000000004</v>
      </c>
      <c r="N86" s="151">
        <f t="shared" si="28"/>
        <v>4240.8</v>
      </c>
    </row>
    <row r="87" spans="1:14" s="153" customFormat="1" ht="33" customHeight="1">
      <c r="A87" s="140"/>
      <c r="B87" s="158" t="s">
        <v>108</v>
      </c>
      <c r="C87" s="150" t="s">
        <v>13</v>
      </c>
      <c r="D87" s="139" t="s">
        <v>105</v>
      </c>
      <c r="E87" s="139" t="s">
        <v>139</v>
      </c>
      <c r="F87" s="557" t="s">
        <v>163</v>
      </c>
      <c r="G87" s="557" t="s">
        <v>98</v>
      </c>
      <c r="H87" s="557" t="s">
        <v>90</v>
      </c>
      <c r="I87" s="558" t="s">
        <v>166</v>
      </c>
      <c r="J87" s="139" t="s">
        <v>109</v>
      </c>
      <c r="K87" s="151">
        <v>4174.1000000000004</v>
      </c>
      <c r="L87" s="151">
        <f>M87-K87</f>
        <v>0</v>
      </c>
      <c r="M87" s="151">
        <v>4174.1000000000004</v>
      </c>
      <c r="N87" s="151">
        <v>4240.8</v>
      </c>
    </row>
    <row r="88" spans="1:14" s="153" customFormat="1" ht="33" customHeight="1">
      <c r="A88" s="140"/>
      <c r="B88" s="722" t="s">
        <v>169</v>
      </c>
      <c r="C88" s="717" t="s">
        <v>13</v>
      </c>
      <c r="D88" s="718" t="s">
        <v>105</v>
      </c>
      <c r="E88" s="718" t="s">
        <v>163</v>
      </c>
      <c r="F88" s="723"/>
      <c r="G88" s="719"/>
      <c r="H88" s="719"/>
      <c r="I88" s="720"/>
      <c r="J88" s="718"/>
      <c r="K88" s="721">
        <f>K94+K89</f>
        <v>4207.3</v>
      </c>
      <c r="L88" s="721">
        <f>L94+L89</f>
        <v>39</v>
      </c>
      <c r="M88" s="721">
        <f>M94+M89</f>
        <v>4246.3</v>
      </c>
      <c r="N88" s="721">
        <f>N94+N89</f>
        <v>4197.7</v>
      </c>
    </row>
    <row r="89" spans="1:14" s="153" customFormat="1" ht="73.900000000000006" customHeight="1">
      <c r="A89" s="140"/>
      <c r="B89" s="784" t="s">
        <v>179</v>
      </c>
      <c r="C89" s="785" t="s">
        <v>13</v>
      </c>
      <c r="D89" s="786" t="s">
        <v>105</v>
      </c>
      <c r="E89" s="786" t="s">
        <v>163</v>
      </c>
      <c r="F89" s="787" t="s">
        <v>149</v>
      </c>
      <c r="G89" s="788" t="s">
        <v>95</v>
      </c>
      <c r="H89" s="788" t="s">
        <v>96</v>
      </c>
      <c r="I89" s="789" t="s">
        <v>97</v>
      </c>
      <c r="J89" s="786"/>
      <c r="K89" s="706">
        <f t="shared" ref="K89:N92" si="29">K90</f>
        <v>0</v>
      </c>
      <c r="L89" s="706">
        <f t="shared" si="29"/>
        <v>39</v>
      </c>
      <c r="M89" s="706">
        <f t="shared" si="29"/>
        <v>39</v>
      </c>
      <c r="N89" s="706">
        <f t="shared" si="29"/>
        <v>39</v>
      </c>
    </row>
    <row r="90" spans="1:14" s="153" customFormat="1" ht="33" customHeight="1">
      <c r="A90" s="140"/>
      <c r="B90" s="791" t="s">
        <v>491</v>
      </c>
      <c r="C90" s="785" t="s">
        <v>13</v>
      </c>
      <c r="D90" s="786" t="s">
        <v>105</v>
      </c>
      <c r="E90" s="786" t="s">
        <v>163</v>
      </c>
      <c r="F90" s="787" t="s">
        <v>149</v>
      </c>
      <c r="G90" s="788" t="s">
        <v>98</v>
      </c>
      <c r="H90" s="788" t="s">
        <v>96</v>
      </c>
      <c r="I90" s="789" t="s">
        <v>97</v>
      </c>
      <c r="J90" s="786"/>
      <c r="K90" s="706">
        <f t="shared" si="29"/>
        <v>0</v>
      </c>
      <c r="L90" s="706">
        <f t="shared" si="29"/>
        <v>39</v>
      </c>
      <c r="M90" s="706">
        <f t="shared" si="29"/>
        <v>39</v>
      </c>
      <c r="N90" s="706">
        <f t="shared" si="29"/>
        <v>39</v>
      </c>
    </row>
    <row r="91" spans="1:14" s="153" customFormat="1" ht="72" customHeight="1">
      <c r="A91" s="140"/>
      <c r="B91" s="809" t="s">
        <v>431</v>
      </c>
      <c r="C91" s="785" t="s">
        <v>13</v>
      </c>
      <c r="D91" s="786" t="s">
        <v>105</v>
      </c>
      <c r="E91" s="786" t="s">
        <v>163</v>
      </c>
      <c r="F91" s="787" t="s">
        <v>149</v>
      </c>
      <c r="G91" s="788" t="s">
        <v>98</v>
      </c>
      <c r="H91" s="788" t="s">
        <v>90</v>
      </c>
      <c r="I91" s="789" t="s">
        <v>97</v>
      </c>
      <c r="J91" s="786"/>
      <c r="K91" s="706">
        <f t="shared" si="29"/>
        <v>0</v>
      </c>
      <c r="L91" s="706">
        <f t="shared" si="29"/>
        <v>39</v>
      </c>
      <c r="M91" s="706">
        <f t="shared" si="29"/>
        <v>39</v>
      </c>
      <c r="N91" s="706">
        <f t="shared" si="29"/>
        <v>39</v>
      </c>
    </row>
    <row r="92" spans="1:14" s="153" customFormat="1" ht="73.150000000000006" customHeight="1">
      <c r="A92" s="140"/>
      <c r="B92" s="784" t="s">
        <v>644</v>
      </c>
      <c r="C92" s="785" t="s">
        <v>13</v>
      </c>
      <c r="D92" s="786" t="s">
        <v>105</v>
      </c>
      <c r="E92" s="786" t="s">
        <v>163</v>
      </c>
      <c r="F92" s="787" t="s">
        <v>149</v>
      </c>
      <c r="G92" s="788" t="s">
        <v>98</v>
      </c>
      <c r="H92" s="788" t="s">
        <v>90</v>
      </c>
      <c r="I92" s="789" t="s">
        <v>643</v>
      </c>
      <c r="J92" s="786"/>
      <c r="K92" s="706">
        <f t="shared" si="29"/>
        <v>0</v>
      </c>
      <c r="L92" s="706">
        <f t="shared" si="29"/>
        <v>39</v>
      </c>
      <c r="M92" s="706">
        <f t="shared" si="29"/>
        <v>39</v>
      </c>
      <c r="N92" s="706">
        <f t="shared" si="29"/>
        <v>39</v>
      </c>
    </row>
    <row r="93" spans="1:14" s="153" customFormat="1" ht="45" customHeight="1">
      <c r="A93" s="140"/>
      <c r="B93" s="784" t="s">
        <v>108</v>
      </c>
      <c r="C93" s="785" t="s">
        <v>13</v>
      </c>
      <c r="D93" s="786" t="s">
        <v>105</v>
      </c>
      <c r="E93" s="786" t="s">
        <v>163</v>
      </c>
      <c r="F93" s="787" t="s">
        <v>149</v>
      </c>
      <c r="G93" s="788" t="s">
        <v>98</v>
      </c>
      <c r="H93" s="788" t="s">
        <v>90</v>
      </c>
      <c r="I93" s="789" t="s">
        <v>643</v>
      </c>
      <c r="J93" s="786" t="s">
        <v>109</v>
      </c>
      <c r="K93" s="706">
        <v>0</v>
      </c>
      <c r="L93" s="706">
        <f>M93-K93</f>
        <v>39</v>
      </c>
      <c r="M93" s="706">
        <v>39</v>
      </c>
      <c r="N93" s="706">
        <v>39</v>
      </c>
    </row>
    <row r="94" spans="1:14" s="153" customFormat="1" ht="58.9" customHeight="1">
      <c r="A94" s="140"/>
      <c r="B94" s="156" t="s">
        <v>93</v>
      </c>
      <c r="C94" s="150" t="s">
        <v>13</v>
      </c>
      <c r="D94" s="139" t="s">
        <v>105</v>
      </c>
      <c r="E94" s="139" t="s">
        <v>163</v>
      </c>
      <c r="F94" s="707" t="s">
        <v>94</v>
      </c>
      <c r="G94" s="708" t="s">
        <v>95</v>
      </c>
      <c r="H94" s="708" t="s">
        <v>96</v>
      </c>
      <c r="I94" s="709" t="s">
        <v>97</v>
      </c>
      <c r="J94" s="139"/>
      <c r="K94" s="151">
        <f t="shared" ref="K94:N94" si="30">K95</f>
        <v>4207.3</v>
      </c>
      <c r="L94" s="151">
        <f t="shared" si="30"/>
        <v>0</v>
      </c>
      <c r="M94" s="151">
        <f t="shared" si="30"/>
        <v>4207.3</v>
      </c>
      <c r="N94" s="151">
        <f t="shared" si="30"/>
        <v>4158.7</v>
      </c>
    </row>
    <row r="95" spans="1:14" s="153" customFormat="1" ht="33" customHeight="1">
      <c r="A95" s="140"/>
      <c r="B95" s="149" t="s">
        <v>491</v>
      </c>
      <c r="C95" s="150" t="s">
        <v>13</v>
      </c>
      <c r="D95" s="139" t="s">
        <v>105</v>
      </c>
      <c r="E95" s="139" t="s">
        <v>163</v>
      </c>
      <c r="F95" s="556" t="s">
        <v>94</v>
      </c>
      <c r="G95" s="557" t="s">
        <v>98</v>
      </c>
      <c r="H95" s="557" t="s">
        <v>96</v>
      </c>
      <c r="I95" s="558" t="s">
        <v>97</v>
      </c>
      <c r="J95" s="139"/>
      <c r="K95" s="151">
        <f>K96</f>
        <v>4207.3</v>
      </c>
      <c r="L95" s="151">
        <f>L96</f>
        <v>0</v>
      </c>
      <c r="M95" s="151">
        <f>M96</f>
        <v>4207.3</v>
      </c>
      <c r="N95" s="151">
        <f t="shared" ref="K95:N96" si="31">N96</f>
        <v>4158.7</v>
      </c>
    </row>
    <row r="96" spans="1:14" s="153" customFormat="1" ht="54" customHeight="1">
      <c r="A96" s="140"/>
      <c r="B96" s="149" t="s">
        <v>474</v>
      </c>
      <c r="C96" s="150" t="s">
        <v>13</v>
      </c>
      <c r="D96" s="139" t="s">
        <v>105</v>
      </c>
      <c r="E96" s="139" t="s">
        <v>163</v>
      </c>
      <c r="F96" s="556" t="s">
        <v>94</v>
      </c>
      <c r="G96" s="557" t="s">
        <v>98</v>
      </c>
      <c r="H96" s="557" t="s">
        <v>149</v>
      </c>
      <c r="I96" s="558" t="s">
        <v>97</v>
      </c>
      <c r="J96" s="139"/>
      <c r="K96" s="151">
        <f t="shared" si="31"/>
        <v>4207.3</v>
      </c>
      <c r="L96" s="151">
        <f>L97</f>
        <v>0</v>
      </c>
      <c r="M96" s="151">
        <f t="shared" si="31"/>
        <v>4207.3</v>
      </c>
      <c r="N96" s="151">
        <f t="shared" si="31"/>
        <v>4158.7</v>
      </c>
    </row>
    <row r="97" spans="1:14" s="153" customFormat="1" ht="33" customHeight="1">
      <c r="A97" s="140"/>
      <c r="B97" s="154" t="s">
        <v>151</v>
      </c>
      <c r="C97" s="150" t="s">
        <v>13</v>
      </c>
      <c r="D97" s="139" t="s">
        <v>105</v>
      </c>
      <c r="E97" s="139" t="s">
        <v>163</v>
      </c>
      <c r="F97" s="556" t="s">
        <v>94</v>
      </c>
      <c r="G97" s="557" t="s">
        <v>98</v>
      </c>
      <c r="H97" s="557" t="s">
        <v>149</v>
      </c>
      <c r="I97" s="558" t="s">
        <v>153</v>
      </c>
      <c r="J97" s="139"/>
      <c r="K97" s="151">
        <f>SUM(K98:K99)</f>
        <v>4207.3</v>
      </c>
      <c r="L97" s="151">
        <f>SUM(L98:L99)</f>
        <v>0</v>
      </c>
      <c r="M97" s="151">
        <f>SUM(M98:M99)</f>
        <v>4207.3</v>
      </c>
      <c r="N97" s="151">
        <f>SUM(N98:N99)</f>
        <v>4158.7</v>
      </c>
    </row>
    <row r="98" spans="1:14" s="153" customFormat="1" ht="93.6" customHeight="1">
      <c r="A98" s="140"/>
      <c r="B98" s="149" t="s">
        <v>102</v>
      </c>
      <c r="C98" s="150" t="s">
        <v>13</v>
      </c>
      <c r="D98" s="139" t="s">
        <v>105</v>
      </c>
      <c r="E98" s="139" t="s">
        <v>163</v>
      </c>
      <c r="F98" s="556" t="s">
        <v>94</v>
      </c>
      <c r="G98" s="557" t="s">
        <v>98</v>
      </c>
      <c r="H98" s="557" t="s">
        <v>149</v>
      </c>
      <c r="I98" s="558" t="s">
        <v>153</v>
      </c>
      <c r="J98" s="139" t="s">
        <v>103</v>
      </c>
      <c r="K98" s="151">
        <v>4158.7</v>
      </c>
      <c r="L98" s="151">
        <f t="shared" ref="L98:L106" si="32">M98-K98</f>
        <v>0</v>
      </c>
      <c r="M98" s="151">
        <v>4158.7</v>
      </c>
      <c r="N98" s="151">
        <v>4158.7</v>
      </c>
    </row>
    <row r="99" spans="1:14" s="153" customFormat="1" ht="33" customHeight="1">
      <c r="A99" s="140"/>
      <c r="B99" s="149" t="s">
        <v>108</v>
      </c>
      <c r="C99" s="150" t="s">
        <v>13</v>
      </c>
      <c r="D99" s="139" t="s">
        <v>105</v>
      </c>
      <c r="E99" s="139" t="s">
        <v>163</v>
      </c>
      <c r="F99" s="556" t="s">
        <v>94</v>
      </c>
      <c r="G99" s="557" t="s">
        <v>98</v>
      </c>
      <c r="H99" s="557" t="s">
        <v>149</v>
      </c>
      <c r="I99" s="558" t="s">
        <v>153</v>
      </c>
      <c r="J99" s="139" t="s">
        <v>109</v>
      </c>
      <c r="K99" s="151">
        <v>48.6</v>
      </c>
      <c r="L99" s="151">
        <f t="shared" si="32"/>
        <v>0</v>
      </c>
      <c r="M99" s="151">
        <v>48.6</v>
      </c>
      <c r="N99" s="151">
        <v>0</v>
      </c>
    </row>
    <row r="100" spans="1:14" s="153" customFormat="1" ht="33" customHeight="1">
      <c r="A100" s="140"/>
      <c r="B100" s="155" t="s">
        <v>608</v>
      </c>
      <c r="C100" s="150" t="s">
        <v>13</v>
      </c>
      <c r="D100" s="139" t="s">
        <v>130</v>
      </c>
      <c r="E100" s="139"/>
      <c r="F100" s="556"/>
      <c r="G100" s="557"/>
      <c r="H100" s="557"/>
      <c r="I100" s="558"/>
      <c r="J100" s="139"/>
      <c r="K100" s="151">
        <f t="shared" ref="K100:M105" si="33">K101</f>
        <v>6.2</v>
      </c>
      <c r="L100" s="151">
        <f t="shared" si="32"/>
        <v>0</v>
      </c>
      <c r="M100" s="151">
        <f t="shared" si="33"/>
        <v>6.2</v>
      </c>
      <c r="N100" s="151">
        <v>0</v>
      </c>
    </row>
    <row r="101" spans="1:14" s="153" customFormat="1" ht="33" customHeight="1">
      <c r="A101" s="140"/>
      <c r="B101" s="155" t="s">
        <v>609</v>
      </c>
      <c r="C101" s="150" t="s">
        <v>13</v>
      </c>
      <c r="D101" s="139" t="s">
        <v>130</v>
      </c>
      <c r="E101" s="139" t="s">
        <v>90</v>
      </c>
      <c r="F101" s="556"/>
      <c r="G101" s="557"/>
      <c r="H101" s="557"/>
      <c r="I101" s="558"/>
      <c r="J101" s="139"/>
      <c r="K101" s="151">
        <f t="shared" si="33"/>
        <v>6.2</v>
      </c>
      <c r="L101" s="151">
        <f t="shared" si="32"/>
        <v>0</v>
      </c>
      <c r="M101" s="151">
        <f t="shared" si="33"/>
        <v>6.2</v>
      </c>
      <c r="N101" s="151">
        <v>0</v>
      </c>
    </row>
    <row r="102" spans="1:14" s="153" customFormat="1" ht="60.6" customHeight="1">
      <c r="A102" s="140"/>
      <c r="B102" s="149" t="s">
        <v>93</v>
      </c>
      <c r="C102" s="150" t="s">
        <v>13</v>
      </c>
      <c r="D102" s="139" t="s">
        <v>130</v>
      </c>
      <c r="E102" s="139" t="s">
        <v>90</v>
      </c>
      <c r="F102" s="556" t="s">
        <v>94</v>
      </c>
      <c r="G102" s="557" t="s">
        <v>95</v>
      </c>
      <c r="H102" s="557" t="s">
        <v>96</v>
      </c>
      <c r="I102" s="558" t="s">
        <v>97</v>
      </c>
      <c r="J102" s="139"/>
      <c r="K102" s="151">
        <f t="shared" si="33"/>
        <v>6.2</v>
      </c>
      <c r="L102" s="151">
        <f t="shared" si="32"/>
        <v>0</v>
      </c>
      <c r="M102" s="151">
        <f t="shared" si="33"/>
        <v>6.2</v>
      </c>
      <c r="N102" s="151">
        <v>0</v>
      </c>
    </row>
    <row r="103" spans="1:14" s="153" customFormat="1" ht="33" customHeight="1">
      <c r="A103" s="140"/>
      <c r="B103" s="149" t="s">
        <v>491</v>
      </c>
      <c r="C103" s="150" t="s">
        <v>13</v>
      </c>
      <c r="D103" s="139" t="s">
        <v>130</v>
      </c>
      <c r="E103" s="139" t="s">
        <v>90</v>
      </c>
      <c r="F103" s="556" t="s">
        <v>94</v>
      </c>
      <c r="G103" s="557" t="s">
        <v>98</v>
      </c>
      <c r="H103" s="557" t="s">
        <v>96</v>
      </c>
      <c r="I103" s="558" t="s">
        <v>97</v>
      </c>
      <c r="J103" s="139"/>
      <c r="K103" s="151">
        <f t="shared" si="33"/>
        <v>6.2</v>
      </c>
      <c r="L103" s="151">
        <f t="shared" si="32"/>
        <v>0</v>
      </c>
      <c r="M103" s="151">
        <f t="shared" si="33"/>
        <v>6.2</v>
      </c>
      <c r="N103" s="151">
        <v>0</v>
      </c>
    </row>
    <row r="104" spans="1:14" s="153" customFormat="1" ht="33" customHeight="1">
      <c r="A104" s="140"/>
      <c r="B104" s="155" t="s">
        <v>610</v>
      </c>
      <c r="C104" s="150" t="s">
        <v>13</v>
      </c>
      <c r="D104" s="139" t="s">
        <v>130</v>
      </c>
      <c r="E104" s="139" t="s">
        <v>90</v>
      </c>
      <c r="F104" s="556" t="s">
        <v>94</v>
      </c>
      <c r="G104" s="557" t="s">
        <v>98</v>
      </c>
      <c r="H104" s="557" t="s">
        <v>139</v>
      </c>
      <c r="I104" s="558" t="s">
        <v>97</v>
      </c>
      <c r="J104" s="139"/>
      <c r="K104" s="151">
        <f t="shared" si="33"/>
        <v>6.2</v>
      </c>
      <c r="L104" s="151">
        <f t="shared" si="32"/>
        <v>0</v>
      </c>
      <c r="M104" s="151">
        <f t="shared" si="33"/>
        <v>6.2</v>
      </c>
      <c r="N104" s="151">
        <v>0</v>
      </c>
    </row>
    <row r="105" spans="1:14" s="153" customFormat="1" ht="33" customHeight="1">
      <c r="A105" s="140"/>
      <c r="B105" s="155" t="s">
        <v>611</v>
      </c>
      <c r="C105" s="150" t="s">
        <v>13</v>
      </c>
      <c r="D105" s="139" t="s">
        <v>130</v>
      </c>
      <c r="E105" s="139" t="s">
        <v>90</v>
      </c>
      <c r="F105" s="556" t="s">
        <v>94</v>
      </c>
      <c r="G105" s="557" t="s">
        <v>98</v>
      </c>
      <c r="H105" s="557" t="s">
        <v>139</v>
      </c>
      <c r="I105" s="558" t="s">
        <v>612</v>
      </c>
      <c r="J105" s="139"/>
      <c r="K105" s="151">
        <f t="shared" si="33"/>
        <v>6.2</v>
      </c>
      <c r="L105" s="151">
        <f t="shared" si="32"/>
        <v>0</v>
      </c>
      <c r="M105" s="151">
        <f t="shared" si="33"/>
        <v>6.2</v>
      </c>
      <c r="N105" s="151">
        <v>0</v>
      </c>
    </row>
    <row r="106" spans="1:14" s="153" customFormat="1" ht="33" customHeight="1">
      <c r="A106" s="140"/>
      <c r="B106" s="155" t="s">
        <v>613</v>
      </c>
      <c r="C106" s="150" t="s">
        <v>13</v>
      </c>
      <c r="D106" s="139" t="s">
        <v>130</v>
      </c>
      <c r="E106" s="139" t="s">
        <v>90</v>
      </c>
      <c r="F106" s="556" t="s">
        <v>94</v>
      </c>
      <c r="G106" s="557" t="s">
        <v>98</v>
      </c>
      <c r="H106" s="557" t="s">
        <v>139</v>
      </c>
      <c r="I106" s="558" t="s">
        <v>612</v>
      </c>
      <c r="J106" s="139" t="s">
        <v>614</v>
      </c>
      <c r="K106" s="151">
        <v>6.2</v>
      </c>
      <c r="L106" s="151">
        <f t="shared" si="32"/>
        <v>0</v>
      </c>
      <c r="M106" s="151">
        <v>6.2</v>
      </c>
      <c r="N106" s="151">
        <v>0</v>
      </c>
    </row>
    <row r="107" spans="1:14" ht="18.75">
      <c r="A107" s="140"/>
      <c r="B107" s="158"/>
      <c r="C107" s="150"/>
      <c r="D107" s="139"/>
      <c r="E107" s="139"/>
      <c r="F107" s="557"/>
      <c r="G107" s="557"/>
      <c r="H107" s="557"/>
      <c r="I107" s="558"/>
      <c r="J107" s="139"/>
      <c r="K107" s="151"/>
      <c r="L107" s="151"/>
      <c r="M107" s="151"/>
      <c r="N107" s="151"/>
    </row>
    <row r="108" spans="1:14" ht="56.25">
      <c r="A108" s="141">
        <v>2</v>
      </c>
      <c r="B108" s="682" t="s">
        <v>28</v>
      </c>
      <c r="C108" s="143" t="s">
        <v>425</v>
      </c>
      <c r="D108" s="144"/>
      <c r="E108" s="144"/>
      <c r="F108" s="146"/>
      <c r="G108" s="146"/>
      <c r="H108" s="146"/>
      <c r="I108" s="147"/>
      <c r="J108" s="144"/>
      <c r="K108" s="228">
        <f>K109+K117</f>
        <v>26657.800000000003</v>
      </c>
      <c r="L108" s="228">
        <f>L109+L117</f>
        <v>0</v>
      </c>
      <c r="M108" s="228">
        <f>M109+M117</f>
        <v>26657.800000000003</v>
      </c>
      <c r="N108" s="228">
        <f>N109+N117</f>
        <v>26655.9</v>
      </c>
    </row>
    <row r="109" spans="1:14" ht="18.75">
      <c r="A109" s="140"/>
      <c r="B109" s="158" t="s">
        <v>89</v>
      </c>
      <c r="C109" s="150" t="s">
        <v>425</v>
      </c>
      <c r="D109" s="139" t="s">
        <v>90</v>
      </c>
      <c r="E109" s="139"/>
      <c r="F109" s="557"/>
      <c r="G109" s="557"/>
      <c r="H109" s="557"/>
      <c r="I109" s="558"/>
      <c r="J109" s="139"/>
      <c r="K109" s="151">
        <f>K110</f>
        <v>21657.800000000003</v>
      </c>
      <c r="L109" s="151">
        <f>L110</f>
        <v>0</v>
      </c>
      <c r="M109" s="151">
        <f>M110</f>
        <v>21657.800000000003</v>
      </c>
      <c r="N109" s="151">
        <f>N110</f>
        <v>21655.9</v>
      </c>
    </row>
    <row r="110" spans="1:14" ht="75">
      <c r="A110" s="140"/>
      <c r="B110" s="158" t="s">
        <v>198</v>
      </c>
      <c r="C110" s="150" t="s">
        <v>425</v>
      </c>
      <c r="D110" s="139" t="s">
        <v>90</v>
      </c>
      <c r="E110" s="139" t="s">
        <v>141</v>
      </c>
      <c r="F110" s="557"/>
      <c r="G110" s="557"/>
      <c r="H110" s="557"/>
      <c r="I110" s="558"/>
      <c r="J110" s="139"/>
      <c r="K110" s="151">
        <f t="shared" ref="K110:N113" si="34">K111</f>
        <v>21657.800000000003</v>
      </c>
      <c r="L110" s="151">
        <f t="shared" si="34"/>
        <v>0</v>
      </c>
      <c r="M110" s="151">
        <f t="shared" si="34"/>
        <v>21657.800000000003</v>
      </c>
      <c r="N110" s="151">
        <f t="shared" si="34"/>
        <v>21655.9</v>
      </c>
    </row>
    <row r="111" spans="1:14" ht="56.25">
      <c r="A111" s="140"/>
      <c r="B111" s="158" t="s">
        <v>303</v>
      </c>
      <c r="C111" s="150" t="s">
        <v>425</v>
      </c>
      <c r="D111" s="139" t="s">
        <v>90</v>
      </c>
      <c r="E111" s="139" t="s">
        <v>141</v>
      </c>
      <c r="F111" s="557" t="s">
        <v>304</v>
      </c>
      <c r="G111" s="557" t="s">
        <v>95</v>
      </c>
      <c r="H111" s="557" t="s">
        <v>96</v>
      </c>
      <c r="I111" s="558" t="s">
        <v>97</v>
      </c>
      <c r="J111" s="139"/>
      <c r="K111" s="151">
        <f t="shared" si="34"/>
        <v>21657.800000000003</v>
      </c>
      <c r="L111" s="151">
        <f t="shared" si="34"/>
        <v>0</v>
      </c>
      <c r="M111" s="151">
        <f t="shared" si="34"/>
        <v>21657.800000000003</v>
      </c>
      <c r="N111" s="151">
        <f t="shared" si="34"/>
        <v>21655.9</v>
      </c>
    </row>
    <row r="112" spans="1:14" ht="37.5">
      <c r="A112" s="140"/>
      <c r="B112" s="158" t="s">
        <v>491</v>
      </c>
      <c r="C112" s="150" t="s">
        <v>425</v>
      </c>
      <c r="D112" s="139" t="s">
        <v>90</v>
      </c>
      <c r="E112" s="139" t="s">
        <v>141</v>
      </c>
      <c r="F112" s="161" t="s">
        <v>304</v>
      </c>
      <c r="G112" s="161" t="s">
        <v>98</v>
      </c>
      <c r="H112" s="557" t="s">
        <v>96</v>
      </c>
      <c r="I112" s="558" t="s">
        <v>97</v>
      </c>
      <c r="J112" s="139"/>
      <c r="K112" s="151">
        <f t="shared" si="34"/>
        <v>21657.800000000003</v>
      </c>
      <c r="L112" s="151">
        <f t="shared" si="34"/>
        <v>0</v>
      </c>
      <c r="M112" s="151">
        <f t="shared" si="34"/>
        <v>21657.800000000003</v>
      </c>
      <c r="N112" s="151">
        <f t="shared" si="34"/>
        <v>21655.9</v>
      </c>
    </row>
    <row r="113" spans="1:14" ht="56.25">
      <c r="A113" s="140"/>
      <c r="B113" s="158" t="s">
        <v>426</v>
      </c>
      <c r="C113" s="150" t="s">
        <v>425</v>
      </c>
      <c r="D113" s="139" t="s">
        <v>90</v>
      </c>
      <c r="E113" s="139" t="s">
        <v>141</v>
      </c>
      <c r="F113" s="161" t="s">
        <v>304</v>
      </c>
      <c r="G113" s="161" t="s">
        <v>98</v>
      </c>
      <c r="H113" s="557" t="s">
        <v>90</v>
      </c>
      <c r="I113" s="558" t="s">
        <v>97</v>
      </c>
      <c r="J113" s="139"/>
      <c r="K113" s="151">
        <f t="shared" si="34"/>
        <v>21657.800000000003</v>
      </c>
      <c r="L113" s="151">
        <f t="shared" si="34"/>
        <v>0</v>
      </c>
      <c r="M113" s="151">
        <f t="shared" si="34"/>
        <v>21657.800000000003</v>
      </c>
      <c r="N113" s="151">
        <f t="shared" si="34"/>
        <v>21655.9</v>
      </c>
    </row>
    <row r="114" spans="1:14" ht="37.5">
      <c r="A114" s="140"/>
      <c r="B114" s="158" t="s">
        <v>100</v>
      </c>
      <c r="C114" s="150" t="s">
        <v>425</v>
      </c>
      <c r="D114" s="139" t="s">
        <v>90</v>
      </c>
      <c r="E114" s="139" t="s">
        <v>141</v>
      </c>
      <c r="F114" s="161" t="s">
        <v>304</v>
      </c>
      <c r="G114" s="161" t="s">
        <v>98</v>
      </c>
      <c r="H114" s="557" t="s">
        <v>90</v>
      </c>
      <c r="I114" s="558" t="s">
        <v>101</v>
      </c>
      <c r="J114" s="139"/>
      <c r="K114" s="151">
        <f t="shared" ref="K114" si="35">SUM(K115:K116)</f>
        <v>21657.800000000003</v>
      </c>
      <c r="L114" s="151">
        <f>SUM(L115:L116)</f>
        <v>0</v>
      </c>
      <c r="M114" s="151">
        <f t="shared" ref="M114:N114" si="36">SUM(M115:M116)</f>
        <v>21657.800000000003</v>
      </c>
      <c r="N114" s="151">
        <f t="shared" si="36"/>
        <v>21655.9</v>
      </c>
    </row>
    <row r="115" spans="1:14" ht="85.15" customHeight="1">
      <c r="A115" s="140"/>
      <c r="B115" s="158" t="s">
        <v>102</v>
      </c>
      <c r="C115" s="150" t="s">
        <v>425</v>
      </c>
      <c r="D115" s="139" t="s">
        <v>90</v>
      </c>
      <c r="E115" s="139" t="s">
        <v>141</v>
      </c>
      <c r="F115" s="161" t="s">
        <v>304</v>
      </c>
      <c r="G115" s="161" t="s">
        <v>98</v>
      </c>
      <c r="H115" s="557" t="s">
        <v>90</v>
      </c>
      <c r="I115" s="558" t="s">
        <v>101</v>
      </c>
      <c r="J115" s="139" t="s">
        <v>103</v>
      </c>
      <c r="K115" s="151">
        <v>21655.9</v>
      </c>
      <c r="L115" s="151">
        <f t="shared" ref="L115:L116" si="37">M115-K115</f>
        <v>0</v>
      </c>
      <c r="M115" s="151">
        <v>21655.9</v>
      </c>
      <c r="N115" s="151">
        <v>21655.9</v>
      </c>
    </row>
    <row r="116" spans="1:14" ht="18.75">
      <c r="A116" s="140"/>
      <c r="B116" s="149" t="s">
        <v>110</v>
      </c>
      <c r="C116" s="150" t="s">
        <v>425</v>
      </c>
      <c r="D116" s="139" t="s">
        <v>90</v>
      </c>
      <c r="E116" s="139" t="s">
        <v>141</v>
      </c>
      <c r="F116" s="160" t="s">
        <v>304</v>
      </c>
      <c r="G116" s="161" t="s">
        <v>98</v>
      </c>
      <c r="H116" s="557" t="s">
        <v>90</v>
      </c>
      <c r="I116" s="558" t="s">
        <v>101</v>
      </c>
      <c r="J116" s="139" t="s">
        <v>111</v>
      </c>
      <c r="K116" s="151">
        <v>1.9</v>
      </c>
      <c r="L116" s="151">
        <f t="shared" si="37"/>
        <v>0</v>
      </c>
      <c r="M116" s="151">
        <v>1.9</v>
      </c>
      <c r="N116" s="151">
        <v>0</v>
      </c>
    </row>
    <row r="117" spans="1:14" ht="56.25">
      <c r="A117" s="140"/>
      <c r="B117" s="158" t="s">
        <v>279</v>
      </c>
      <c r="C117" s="150" t="s">
        <v>425</v>
      </c>
      <c r="D117" s="139" t="s">
        <v>149</v>
      </c>
      <c r="E117" s="139"/>
      <c r="F117" s="161"/>
      <c r="G117" s="161"/>
      <c r="H117" s="557"/>
      <c r="I117" s="558"/>
      <c r="J117" s="139"/>
      <c r="K117" s="151">
        <f t="shared" ref="K117:N120" si="38">K118</f>
        <v>5000</v>
      </c>
      <c r="L117" s="151">
        <f t="shared" si="38"/>
        <v>0</v>
      </c>
      <c r="M117" s="151">
        <f t="shared" si="38"/>
        <v>5000</v>
      </c>
      <c r="N117" s="151">
        <f t="shared" si="38"/>
        <v>5000</v>
      </c>
    </row>
    <row r="118" spans="1:14" ht="56.25">
      <c r="A118" s="140"/>
      <c r="B118" s="685" t="s">
        <v>280</v>
      </c>
      <c r="C118" s="150" t="s">
        <v>425</v>
      </c>
      <c r="D118" s="139" t="s">
        <v>149</v>
      </c>
      <c r="E118" s="139" t="s">
        <v>90</v>
      </c>
      <c r="F118" s="161"/>
      <c r="G118" s="161"/>
      <c r="H118" s="557"/>
      <c r="I118" s="558"/>
      <c r="J118" s="139"/>
      <c r="K118" s="151">
        <f t="shared" si="38"/>
        <v>5000</v>
      </c>
      <c r="L118" s="151">
        <f t="shared" si="38"/>
        <v>0</v>
      </c>
      <c r="M118" s="151">
        <f t="shared" si="38"/>
        <v>5000</v>
      </c>
      <c r="N118" s="151">
        <f t="shared" si="38"/>
        <v>5000</v>
      </c>
    </row>
    <row r="119" spans="1:14" ht="56.25">
      <c r="A119" s="140"/>
      <c r="B119" s="158" t="s">
        <v>303</v>
      </c>
      <c r="C119" s="150" t="s">
        <v>425</v>
      </c>
      <c r="D119" s="139" t="s">
        <v>149</v>
      </c>
      <c r="E119" s="139" t="s">
        <v>90</v>
      </c>
      <c r="F119" s="161" t="s">
        <v>304</v>
      </c>
      <c r="G119" s="161" t="s">
        <v>95</v>
      </c>
      <c r="H119" s="557" t="s">
        <v>96</v>
      </c>
      <c r="I119" s="558" t="s">
        <v>97</v>
      </c>
      <c r="J119" s="139"/>
      <c r="K119" s="151">
        <f t="shared" si="38"/>
        <v>5000</v>
      </c>
      <c r="L119" s="151">
        <f t="shared" si="38"/>
        <v>0</v>
      </c>
      <c r="M119" s="151">
        <f t="shared" si="38"/>
        <v>5000</v>
      </c>
      <c r="N119" s="151">
        <f t="shared" si="38"/>
        <v>5000</v>
      </c>
    </row>
    <row r="120" spans="1:14" ht="37.5">
      <c r="A120" s="140"/>
      <c r="B120" s="158" t="s">
        <v>491</v>
      </c>
      <c r="C120" s="150" t="s">
        <v>425</v>
      </c>
      <c r="D120" s="139" t="s">
        <v>149</v>
      </c>
      <c r="E120" s="139" t="s">
        <v>90</v>
      </c>
      <c r="F120" s="161" t="s">
        <v>304</v>
      </c>
      <c r="G120" s="161" t="s">
        <v>98</v>
      </c>
      <c r="H120" s="557" t="s">
        <v>96</v>
      </c>
      <c r="I120" s="558" t="s">
        <v>97</v>
      </c>
      <c r="J120" s="139"/>
      <c r="K120" s="151">
        <f t="shared" si="38"/>
        <v>5000</v>
      </c>
      <c r="L120" s="151">
        <f t="shared" si="38"/>
        <v>0</v>
      </c>
      <c r="M120" s="151">
        <f t="shared" si="38"/>
        <v>5000</v>
      </c>
      <c r="N120" s="151">
        <f t="shared" si="38"/>
        <v>5000</v>
      </c>
    </row>
    <row r="121" spans="1:14" ht="37.5">
      <c r="A121" s="140"/>
      <c r="B121" s="158" t="s">
        <v>427</v>
      </c>
      <c r="C121" s="150" t="s">
        <v>425</v>
      </c>
      <c r="D121" s="139" t="s">
        <v>149</v>
      </c>
      <c r="E121" s="139" t="s">
        <v>90</v>
      </c>
      <c r="F121" s="161" t="s">
        <v>304</v>
      </c>
      <c r="G121" s="161" t="s">
        <v>98</v>
      </c>
      <c r="H121" s="557" t="s">
        <v>92</v>
      </c>
      <c r="I121" s="558" t="s">
        <v>97</v>
      </c>
      <c r="J121" s="139"/>
      <c r="K121" s="151">
        <f t="shared" ref="K121:N122" si="39">K122</f>
        <v>5000</v>
      </c>
      <c r="L121" s="151">
        <f t="shared" si="39"/>
        <v>0</v>
      </c>
      <c r="M121" s="151">
        <f t="shared" si="39"/>
        <v>5000</v>
      </c>
      <c r="N121" s="151">
        <f t="shared" si="39"/>
        <v>5000</v>
      </c>
    </row>
    <row r="122" spans="1:14" ht="37.5">
      <c r="A122" s="140"/>
      <c r="B122" s="149" t="s">
        <v>363</v>
      </c>
      <c r="C122" s="150" t="s">
        <v>425</v>
      </c>
      <c r="D122" s="139" t="s">
        <v>149</v>
      </c>
      <c r="E122" s="139" t="s">
        <v>90</v>
      </c>
      <c r="F122" s="160" t="s">
        <v>304</v>
      </c>
      <c r="G122" s="161" t="s">
        <v>98</v>
      </c>
      <c r="H122" s="557" t="s">
        <v>92</v>
      </c>
      <c r="I122" s="558" t="s">
        <v>807</v>
      </c>
      <c r="J122" s="139"/>
      <c r="K122" s="151">
        <f t="shared" si="39"/>
        <v>5000</v>
      </c>
      <c r="L122" s="151">
        <f t="shared" si="39"/>
        <v>0</v>
      </c>
      <c r="M122" s="151">
        <f t="shared" si="39"/>
        <v>5000</v>
      </c>
      <c r="N122" s="151">
        <f t="shared" si="39"/>
        <v>5000</v>
      </c>
    </row>
    <row r="123" spans="1:14" ht="18.75">
      <c r="A123" s="140"/>
      <c r="B123" s="149" t="s">
        <v>186</v>
      </c>
      <c r="C123" s="150" t="s">
        <v>425</v>
      </c>
      <c r="D123" s="139" t="s">
        <v>149</v>
      </c>
      <c r="E123" s="139" t="s">
        <v>90</v>
      </c>
      <c r="F123" s="160" t="s">
        <v>304</v>
      </c>
      <c r="G123" s="161" t="s">
        <v>98</v>
      </c>
      <c r="H123" s="557" t="s">
        <v>92</v>
      </c>
      <c r="I123" s="558" t="s">
        <v>807</v>
      </c>
      <c r="J123" s="139" t="s">
        <v>187</v>
      </c>
      <c r="K123" s="151">
        <v>5000</v>
      </c>
      <c r="L123" s="151">
        <f>M123-K123</f>
        <v>0</v>
      </c>
      <c r="M123" s="151">
        <v>5000</v>
      </c>
      <c r="N123" s="151">
        <v>5000</v>
      </c>
    </row>
    <row r="124" spans="1:14" ht="18.75">
      <c r="A124" s="140"/>
      <c r="B124" s="158"/>
      <c r="C124" s="150"/>
      <c r="D124" s="139"/>
      <c r="E124" s="139"/>
      <c r="F124" s="161"/>
      <c r="G124" s="161"/>
      <c r="H124" s="557"/>
      <c r="I124" s="558"/>
      <c r="J124" s="139"/>
      <c r="K124" s="151"/>
      <c r="L124" s="151"/>
      <c r="M124" s="151"/>
      <c r="N124" s="151"/>
    </row>
    <row r="125" spans="1:14" ht="33" customHeight="1">
      <c r="A125" s="141">
        <v>3</v>
      </c>
      <c r="B125" s="682" t="s">
        <v>88</v>
      </c>
      <c r="C125" s="143" t="s">
        <v>197</v>
      </c>
      <c r="D125" s="144"/>
      <c r="E125" s="144"/>
      <c r="F125" s="146"/>
      <c r="G125" s="146"/>
      <c r="H125" s="146"/>
      <c r="I125" s="147"/>
      <c r="J125" s="144"/>
      <c r="K125" s="228">
        <f t="shared" ref="K125:N128" si="40">K126</f>
        <v>3798.6000000000004</v>
      </c>
      <c r="L125" s="228">
        <f t="shared" si="40"/>
        <v>0</v>
      </c>
      <c r="M125" s="228">
        <f t="shared" si="40"/>
        <v>3798.6000000000004</v>
      </c>
      <c r="N125" s="228">
        <f t="shared" si="40"/>
        <v>3798.6000000000004</v>
      </c>
    </row>
    <row r="126" spans="1:14" ht="18.75">
      <c r="A126" s="140"/>
      <c r="B126" s="158" t="s">
        <v>89</v>
      </c>
      <c r="C126" s="150" t="s">
        <v>197</v>
      </c>
      <c r="D126" s="139" t="s">
        <v>90</v>
      </c>
      <c r="E126" s="139"/>
      <c r="F126" s="557"/>
      <c r="G126" s="557"/>
      <c r="H126" s="557"/>
      <c r="I126" s="558"/>
      <c r="J126" s="139"/>
      <c r="K126" s="151">
        <f t="shared" si="40"/>
        <v>3798.6000000000004</v>
      </c>
      <c r="L126" s="151">
        <f t="shared" si="40"/>
        <v>0</v>
      </c>
      <c r="M126" s="151">
        <f t="shared" si="40"/>
        <v>3798.6000000000004</v>
      </c>
      <c r="N126" s="151">
        <f t="shared" si="40"/>
        <v>3798.6000000000004</v>
      </c>
    </row>
    <row r="127" spans="1:14" ht="75">
      <c r="A127" s="140"/>
      <c r="B127" s="158" t="s">
        <v>198</v>
      </c>
      <c r="C127" s="150" t="s">
        <v>197</v>
      </c>
      <c r="D127" s="139" t="s">
        <v>90</v>
      </c>
      <c r="E127" s="139" t="s">
        <v>141</v>
      </c>
      <c r="F127" s="557"/>
      <c r="G127" s="557"/>
      <c r="H127" s="557"/>
      <c r="I127" s="558"/>
      <c r="J127" s="139"/>
      <c r="K127" s="151">
        <f t="shared" si="40"/>
        <v>3798.6000000000004</v>
      </c>
      <c r="L127" s="151">
        <f t="shared" si="40"/>
        <v>0</v>
      </c>
      <c r="M127" s="151">
        <f t="shared" si="40"/>
        <v>3798.6000000000004</v>
      </c>
      <c r="N127" s="151">
        <f t="shared" si="40"/>
        <v>3798.6000000000004</v>
      </c>
    </row>
    <row r="128" spans="1:14" ht="56.25">
      <c r="A128" s="140"/>
      <c r="B128" s="683" t="s">
        <v>199</v>
      </c>
      <c r="C128" s="150" t="s">
        <v>197</v>
      </c>
      <c r="D128" s="139" t="s">
        <v>90</v>
      </c>
      <c r="E128" s="139" t="s">
        <v>141</v>
      </c>
      <c r="F128" s="557" t="s">
        <v>200</v>
      </c>
      <c r="G128" s="557" t="s">
        <v>95</v>
      </c>
      <c r="H128" s="557" t="s">
        <v>96</v>
      </c>
      <c r="I128" s="558" t="s">
        <v>97</v>
      </c>
      <c r="J128" s="139"/>
      <c r="K128" s="151">
        <f t="shared" si="40"/>
        <v>3798.6000000000004</v>
      </c>
      <c r="L128" s="151">
        <f t="shared" si="40"/>
        <v>0</v>
      </c>
      <c r="M128" s="151">
        <f t="shared" si="40"/>
        <v>3798.6000000000004</v>
      </c>
      <c r="N128" s="151">
        <f t="shared" si="40"/>
        <v>3798.6000000000004</v>
      </c>
    </row>
    <row r="129" spans="1:14" ht="75">
      <c r="A129" s="140"/>
      <c r="B129" s="683" t="s">
        <v>202</v>
      </c>
      <c r="C129" s="150" t="s">
        <v>197</v>
      </c>
      <c r="D129" s="139" t="s">
        <v>90</v>
      </c>
      <c r="E129" s="139" t="s">
        <v>141</v>
      </c>
      <c r="F129" s="557" t="s">
        <v>200</v>
      </c>
      <c r="G129" s="557" t="s">
        <v>98</v>
      </c>
      <c r="H129" s="557" t="s">
        <v>96</v>
      </c>
      <c r="I129" s="558" t="s">
        <v>97</v>
      </c>
      <c r="J129" s="139"/>
      <c r="K129" s="151">
        <f>K130+K133</f>
        <v>3798.6000000000004</v>
      </c>
      <c r="L129" s="151">
        <f>L130+L133</f>
        <v>0</v>
      </c>
      <c r="M129" s="151">
        <f>M130+M133</f>
        <v>3798.6000000000004</v>
      </c>
      <c r="N129" s="151">
        <f>N130+N133</f>
        <v>3798.6000000000004</v>
      </c>
    </row>
    <row r="130" spans="1:14" ht="37.5">
      <c r="A130" s="140"/>
      <c r="B130" s="158" t="s">
        <v>201</v>
      </c>
      <c r="C130" s="150" t="s">
        <v>197</v>
      </c>
      <c r="D130" s="139" t="s">
        <v>90</v>
      </c>
      <c r="E130" s="139" t="s">
        <v>141</v>
      </c>
      <c r="F130" s="557" t="s">
        <v>200</v>
      </c>
      <c r="G130" s="557" t="s">
        <v>98</v>
      </c>
      <c r="H130" s="557" t="s">
        <v>90</v>
      </c>
      <c r="I130" s="558" t="s">
        <v>97</v>
      </c>
      <c r="J130" s="139"/>
      <c r="K130" s="151">
        <f t="shared" ref="K130:N131" si="41">K131</f>
        <v>1182.7</v>
      </c>
      <c r="L130" s="151">
        <f t="shared" si="41"/>
        <v>0</v>
      </c>
      <c r="M130" s="151">
        <f t="shared" si="41"/>
        <v>1182.7</v>
      </c>
      <c r="N130" s="151">
        <f t="shared" si="41"/>
        <v>1182.7</v>
      </c>
    </row>
    <row r="131" spans="1:14" ht="37.5">
      <c r="A131" s="140"/>
      <c r="B131" s="158" t="s">
        <v>100</v>
      </c>
      <c r="C131" s="150" t="s">
        <v>197</v>
      </c>
      <c r="D131" s="139" t="s">
        <v>90</v>
      </c>
      <c r="E131" s="139" t="s">
        <v>141</v>
      </c>
      <c r="F131" s="557" t="s">
        <v>200</v>
      </c>
      <c r="G131" s="557" t="s">
        <v>98</v>
      </c>
      <c r="H131" s="557" t="s">
        <v>90</v>
      </c>
      <c r="I131" s="558" t="s">
        <v>101</v>
      </c>
      <c r="J131" s="139"/>
      <c r="K131" s="151">
        <f t="shared" si="41"/>
        <v>1182.7</v>
      </c>
      <c r="L131" s="151">
        <f t="shared" si="41"/>
        <v>0</v>
      </c>
      <c r="M131" s="151">
        <f t="shared" si="41"/>
        <v>1182.7</v>
      </c>
      <c r="N131" s="151">
        <f t="shared" si="41"/>
        <v>1182.7</v>
      </c>
    </row>
    <row r="132" spans="1:14" ht="87" customHeight="1">
      <c r="A132" s="140"/>
      <c r="B132" s="683" t="s">
        <v>102</v>
      </c>
      <c r="C132" s="150" t="s">
        <v>197</v>
      </c>
      <c r="D132" s="139" t="s">
        <v>90</v>
      </c>
      <c r="E132" s="139" t="s">
        <v>141</v>
      </c>
      <c r="F132" s="557" t="s">
        <v>200</v>
      </c>
      <c r="G132" s="557" t="s">
        <v>98</v>
      </c>
      <c r="H132" s="557" t="s">
        <v>90</v>
      </c>
      <c r="I132" s="558" t="s">
        <v>101</v>
      </c>
      <c r="J132" s="139" t="s">
        <v>103</v>
      </c>
      <c r="K132" s="151">
        <v>1182.7</v>
      </c>
      <c r="L132" s="151">
        <f>M132-K132</f>
        <v>0</v>
      </c>
      <c r="M132" s="151">
        <v>1182.7</v>
      </c>
      <c r="N132" s="151">
        <v>1182.7</v>
      </c>
    </row>
    <row r="133" spans="1:14" ht="37.5">
      <c r="A133" s="140"/>
      <c r="B133" s="158" t="s">
        <v>203</v>
      </c>
      <c r="C133" s="150" t="s">
        <v>197</v>
      </c>
      <c r="D133" s="139" t="s">
        <v>90</v>
      </c>
      <c r="E133" s="139" t="s">
        <v>141</v>
      </c>
      <c r="F133" s="557" t="s">
        <v>200</v>
      </c>
      <c r="G133" s="557" t="s">
        <v>98</v>
      </c>
      <c r="H133" s="557" t="s">
        <v>92</v>
      </c>
      <c r="I133" s="558" t="s">
        <v>97</v>
      </c>
      <c r="J133" s="139"/>
      <c r="K133" s="151">
        <f t="shared" ref="K133:N134" si="42">K134</f>
        <v>2615.9</v>
      </c>
      <c r="L133" s="151">
        <f t="shared" si="42"/>
        <v>0</v>
      </c>
      <c r="M133" s="151">
        <f t="shared" si="42"/>
        <v>2615.9</v>
      </c>
      <c r="N133" s="151">
        <f t="shared" si="42"/>
        <v>2615.9</v>
      </c>
    </row>
    <row r="134" spans="1:14" ht="37.5">
      <c r="A134" s="140"/>
      <c r="B134" s="158" t="s">
        <v>100</v>
      </c>
      <c r="C134" s="150" t="s">
        <v>197</v>
      </c>
      <c r="D134" s="139" t="s">
        <v>90</v>
      </c>
      <c r="E134" s="139" t="s">
        <v>141</v>
      </c>
      <c r="F134" s="557" t="s">
        <v>200</v>
      </c>
      <c r="G134" s="557" t="s">
        <v>98</v>
      </c>
      <c r="H134" s="557" t="s">
        <v>92</v>
      </c>
      <c r="I134" s="558" t="s">
        <v>101</v>
      </c>
      <c r="J134" s="139"/>
      <c r="K134" s="151">
        <f t="shared" si="42"/>
        <v>2615.9</v>
      </c>
      <c r="L134" s="151">
        <f t="shared" si="42"/>
        <v>0</v>
      </c>
      <c r="M134" s="151">
        <f t="shared" si="42"/>
        <v>2615.9</v>
      </c>
      <c r="N134" s="151">
        <f t="shared" si="42"/>
        <v>2615.9</v>
      </c>
    </row>
    <row r="135" spans="1:14" ht="87" customHeight="1">
      <c r="A135" s="140"/>
      <c r="B135" s="158" t="s">
        <v>102</v>
      </c>
      <c r="C135" s="150" t="s">
        <v>197</v>
      </c>
      <c r="D135" s="139" t="s">
        <v>90</v>
      </c>
      <c r="E135" s="139" t="s">
        <v>141</v>
      </c>
      <c r="F135" s="557" t="s">
        <v>200</v>
      </c>
      <c r="G135" s="557" t="s">
        <v>98</v>
      </c>
      <c r="H135" s="557" t="s">
        <v>92</v>
      </c>
      <c r="I135" s="558" t="s">
        <v>101</v>
      </c>
      <c r="J135" s="139" t="s">
        <v>103</v>
      </c>
      <c r="K135" s="151">
        <v>2615.9</v>
      </c>
      <c r="L135" s="151">
        <f>M135-K135</f>
        <v>0</v>
      </c>
      <c r="M135" s="151">
        <v>2615.9</v>
      </c>
      <c r="N135" s="151">
        <v>2615.9</v>
      </c>
    </row>
    <row r="136" spans="1:14" ht="18.75">
      <c r="A136" s="140"/>
      <c r="B136" s="158"/>
      <c r="C136" s="150"/>
      <c r="D136" s="139"/>
      <c r="E136" s="139"/>
      <c r="F136" s="557"/>
      <c r="G136" s="557"/>
      <c r="H136" s="557"/>
      <c r="I136" s="558"/>
      <c r="J136" s="139"/>
      <c r="K136" s="151"/>
      <c r="L136" s="151"/>
      <c r="M136" s="151"/>
      <c r="N136" s="151"/>
    </row>
    <row r="137" spans="1:14" s="162" customFormat="1" ht="56.25">
      <c r="A137" s="628">
        <v>4</v>
      </c>
      <c r="B137" s="686" t="s">
        <v>36</v>
      </c>
      <c r="C137" s="630" t="s">
        <v>417</v>
      </c>
      <c r="D137" s="631"/>
      <c r="E137" s="631"/>
      <c r="F137" s="687"/>
      <c r="G137" s="687"/>
      <c r="H137" s="687"/>
      <c r="I137" s="688"/>
      <c r="J137" s="631"/>
      <c r="K137" s="635">
        <f>K138+K155</f>
        <v>52418.2</v>
      </c>
      <c r="L137" s="635">
        <f t="shared" ref="L137:N137" si="43">L138+L155</f>
        <v>12302</v>
      </c>
      <c r="M137" s="635">
        <f>M138+M155</f>
        <v>64720.2</v>
      </c>
      <c r="N137" s="635">
        <f t="shared" si="43"/>
        <v>64552.100000000006</v>
      </c>
    </row>
    <row r="138" spans="1:14" s="169" customFormat="1" ht="18.75">
      <c r="A138" s="163"/>
      <c r="B138" s="659" t="s">
        <v>89</v>
      </c>
      <c r="C138" s="164" t="s">
        <v>417</v>
      </c>
      <c r="D138" s="165" t="s">
        <v>90</v>
      </c>
      <c r="E138" s="166"/>
      <c r="F138" s="167"/>
      <c r="G138" s="167"/>
      <c r="H138" s="167"/>
      <c r="I138" s="168"/>
      <c r="J138" s="166"/>
      <c r="K138" s="626">
        <f>K139</f>
        <v>20979.599999999999</v>
      </c>
      <c r="L138" s="626">
        <f>L139</f>
        <v>0</v>
      </c>
      <c r="M138" s="626">
        <f>M139</f>
        <v>20979.599999999999</v>
      </c>
      <c r="N138" s="626">
        <f>N139</f>
        <v>20811.5</v>
      </c>
    </row>
    <row r="139" spans="1:14" s="170" customFormat="1" ht="18.75">
      <c r="A139" s="163"/>
      <c r="B139" s="659" t="s">
        <v>129</v>
      </c>
      <c r="C139" s="164" t="s">
        <v>417</v>
      </c>
      <c r="D139" s="165" t="s">
        <v>90</v>
      </c>
      <c r="E139" s="165" t="s">
        <v>130</v>
      </c>
      <c r="F139" s="167"/>
      <c r="G139" s="167"/>
      <c r="H139" s="167"/>
      <c r="I139" s="168"/>
      <c r="J139" s="166"/>
      <c r="K139" s="626">
        <f t="shared" ref="K139" si="44">K140+K149</f>
        <v>20979.599999999999</v>
      </c>
      <c r="L139" s="626">
        <f>L140+L149</f>
        <v>0</v>
      </c>
      <c r="M139" s="626">
        <f t="shared" ref="M139:N139" si="45">M140+M149</f>
        <v>20979.599999999999</v>
      </c>
      <c r="N139" s="626">
        <f t="shared" si="45"/>
        <v>20811.5</v>
      </c>
    </row>
    <row r="140" spans="1:14" s="169" customFormat="1" ht="56.25">
      <c r="A140" s="163"/>
      <c r="B140" s="659" t="s">
        <v>305</v>
      </c>
      <c r="C140" s="164" t="s">
        <v>417</v>
      </c>
      <c r="D140" s="165" t="s">
        <v>90</v>
      </c>
      <c r="E140" s="165" t="s">
        <v>130</v>
      </c>
      <c r="F140" s="182" t="s">
        <v>306</v>
      </c>
      <c r="G140" s="167" t="s">
        <v>95</v>
      </c>
      <c r="H140" s="167" t="s">
        <v>96</v>
      </c>
      <c r="I140" s="168" t="s">
        <v>97</v>
      </c>
      <c r="J140" s="166"/>
      <c r="K140" s="626">
        <f t="shared" ref="K140:N140" si="46">K141</f>
        <v>15869.7</v>
      </c>
      <c r="L140" s="626">
        <f>L141</f>
        <v>0</v>
      </c>
      <c r="M140" s="626">
        <f t="shared" si="46"/>
        <v>15869.7</v>
      </c>
      <c r="N140" s="626">
        <f t="shared" si="46"/>
        <v>15772.8</v>
      </c>
    </row>
    <row r="141" spans="1:14" s="170" customFormat="1" ht="37.5">
      <c r="A141" s="163"/>
      <c r="B141" s="659" t="s">
        <v>309</v>
      </c>
      <c r="C141" s="164" t="s">
        <v>417</v>
      </c>
      <c r="D141" s="165" t="s">
        <v>90</v>
      </c>
      <c r="E141" s="165" t="s">
        <v>130</v>
      </c>
      <c r="F141" s="182" t="s">
        <v>306</v>
      </c>
      <c r="G141" s="167" t="s">
        <v>150</v>
      </c>
      <c r="H141" s="167" t="s">
        <v>96</v>
      </c>
      <c r="I141" s="168" t="s">
        <v>97</v>
      </c>
      <c r="J141" s="166"/>
      <c r="K141" s="626">
        <f>K142</f>
        <v>15869.7</v>
      </c>
      <c r="L141" s="626">
        <f>L142</f>
        <v>0</v>
      </c>
      <c r="M141" s="626">
        <f>M142</f>
        <v>15869.7</v>
      </c>
      <c r="N141" s="626">
        <f>N142</f>
        <v>15772.8</v>
      </c>
    </row>
    <row r="142" spans="1:14" s="176" customFormat="1" ht="93.75">
      <c r="A142" s="163"/>
      <c r="B142" s="659" t="s">
        <v>424</v>
      </c>
      <c r="C142" s="164" t="s">
        <v>417</v>
      </c>
      <c r="D142" s="165" t="s">
        <v>90</v>
      </c>
      <c r="E142" s="165" t="s">
        <v>130</v>
      </c>
      <c r="F142" s="182" t="s">
        <v>306</v>
      </c>
      <c r="G142" s="167" t="s">
        <v>150</v>
      </c>
      <c r="H142" s="167" t="s">
        <v>90</v>
      </c>
      <c r="I142" s="168" t="s">
        <v>97</v>
      </c>
      <c r="J142" s="166"/>
      <c r="K142" s="626">
        <f>K143+K145</f>
        <v>15869.7</v>
      </c>
      <c r="L142" s="626">
        <f>L143+L145</f>
        <v>0</v>
      </c>
      <c r="M142" s="626">
        <f>M143+M145</f>
        <v>15869.7</v>
      </c>
      <c r="N142" s="626">
        <f>N143+N145</f>
        <v>15772.8</v>
      </c>
    </row>
    <row r="143" spans="1:14" s="170" customFormat="1" ht="37.5">
      <c r="A143" s="163"/>
      <c r="B143" s="659" t="s">
        <v>100</v>
      </c>
      <c r="C143" s="164" t="s">
        <v>417</v>
      </c>
      <c r="D143" s="165" t="s">
        <v>90</v>
      </c>
      <c r="E143" s="165" t="s">
        <v>130</v>
      </c>
      <c r="F143" s="689" t="s">
        <v>306</v>
      </c>
      <c r="G143" s="172" t="s">
        <v>150</v>
      </c>
      <c r="H143" s="172" t="s">
        <v>90</v>
      </c>
      <c r="I143" s="173" t="s">
        <v>101</v>
      </c>
      <c r="J143" s="166"/>
      <c r="K143" s="626">
        <f>SUM(K144)</f>
        <v>11788.5</v>
      </c>
      <c r="L143" s="626">
        <f>SUM(L144)</f>
        <v>0</v>
      </c>
      <c r="M143" s="626">
        <f>SUM(M144)</f>
        <v>11788.5</v>
      </c>
      <c r="N143" s="626">
        <f>SUM(N144)</f>
        <v>11788.5</v>
      </c>
    </row>
    <row r="144" spans="1:14" s="169" customFormat="1" ht="87.6" customHeight="1">
      <c r="A144" s="163"/>
      <c r="B144" s="659" t="s">
        <v>102</v>
      </c>
      <c r="C144" s="164" t="s">
        <v>417</v>
      </c>
      <c r="D144" s="165" t="s">
        <v>90</v>
      </c>
      <c r="E144" s="165" t="s">
        <v>130</v>
      </c>
      <c r="F144" s="182" t="s">
        <v>306</v>
      </c>
      <c r="G144" s="167" t="s">
        <v>150</v>
      </c>
      <c r="H144" s="167" t="s">
        <v>90</v>
      </c>
      <c r="I144" s="168" t="s">
        <v>101</v>
      </c>
      <c r="J144" s="166" t="s">
        <v>103</v>
      </c>
      <c r="K144" s="626">
        <v>11788.5</v>
      </c>
      <c r="L144" s="151">
        <f>M144-K144</f>
        <v>0</v>
      </c>
      <c r="M144" s="626">
        <v>11788.5</v>
      </c>
      <c r="N144" s="626">
        <v>11788.5</v>
      </c>
    </row>
    <row r="145" spans="1:16" s="169" customFormat="1" ht="70.150000000000006" customHeight="1">
      <c r="A145" s="163"/>
      <c r="B145" s="659" t="s">
        <v>151</v>
      </c>
      <c r="C145" s="164" t="s">
        <v>417</v>
      </c>
      <c r="D145" s="165" t="s">
        <v>90</v>
      </c>
      <c r="E145" s="165" t="s">
        <v>130</v>
      </c>
      <c r="F145" s="182" t="s">
        <v>306</v>
      </c>
      <c r="G145" s="167" t="s">
        <v>150</v>
      </c>
      <c r="H145" s="167" t="s">
        <v>90</v>
      </c>
      <c r="I145" s="168" t="s">
        <v>153</v>
      </c>
      <c r="J145" s="166"/>
      <c r="K145" s="626">
        <f t="shared" ref="K145" si="47">SUM(K146:K148)</f>
        <v>4081.2000000000003</v>
      </c>
      <c r="L145" s="626">
        <f>SUM(L146:L148)</f>
        <v>0</v>
      </c>
      <c r="M145" s="626">
        <f t="shared" ref="M145:N145" si="48">SUM(M146:M148)</f>
        <v>4081.2000000000003</v>
      </c>
      <c r="N145" s="626">
        <f t="shared" si="48"/>
        <v>3984.3</v>
      </c>
      <c r="P145" s="177"/>
    </row>
    <row r="146" spans="1:16" s="169" customFormat="1" ht="89.45" customHeight="1">
      <c r="A146" s="163"/>
      <c r="B146" s="659" t="s">
        <v>102</v>
      </c>
      <c r="C146" s="164" t="s">
        <v>417</v>
      </c>
      <c r="D146" s="165" t="s">
        <v>90</v>
      </c>
      <c r="E146" s="165" t="s">
        <v>130</v>
      </c>
      <c r="F146" s="182" t="s">
        <v>306</v>
      </c>
      <c r="G146" s="167" t="s">
        <v>150</v>
      </c>
      <c r="H146" s="167" t="s">
        <v>90</v>
      </c>
      <c r="I146" s="168" t="s">
        <v>153</v>
      </c>
      <c r="J146" s="166" t="s">
        <v>103</v>
      </c>
      <c r="K146" s="626">
        <v>3984.3</v>
      </c>
      <c r="L146" s="151">
        <f t="shared" ref="L146:L148" si="49">M146-K146</f>
        <v>0</v>
      </c>
      <c r="M146" s="626">
        <v>3984.3</v>
      </c>
      <c r="N146" s="626">
        <v>3984.3</v>
      </c>
      <c r="P146" s="177"/>
    </row>
    <row r="147" spans="1:16" s="169" customFormat="1" ht="33" customHeight="1">
      <c r="A147" s="163"/>
      <c r="B147" s="149" t="s">
        <v>108</v>
      </c>
      <c r="C147" s="164" t="s">
        <v>417</v>
      </c>
      <c r="D147" s="165" t="s">
        <v>90</v>
      </c>
      <c r="E147" s="165" t="s">
        <v>130</v>
      </c>
      <c r="F147" s="171" t="s">
        <v>306</v>
      </c>
      <c r="G147" s="172" t="s">
        <v>150</v>
      </c>
      <c r="H147" s="172" t="s">
        <v>90</v>
      </c>
      <c r="I147" s="173" t="s">
        <v>153</v>
      </c>
      <c r="J147" s="166" t="s">
        <v>109</v>
      </c>
      <c r="K147" s="626">
        <v>69.5</v>
      </c>
      <c r="L147" s="151">
        <f t="shared" si="49"/>
        <v>0</v>
      </c>
      <c r="M147" s="626">
        <v>69.5</v>
      </c>
      <c r="N147" s="626">
        <v>0</v>
      </c>
    </row>
    <row r="148" spans="1:16" s="169" customFormat="1" ht="18.75">
      <c r="A148" s="163"/>
      <c r="B148" s="159" t="s">
        <v>110</v>
      </c>
      <c r="C148" s="164" t="s">
        <v>417</v>
      </c>
      <c r="D148" s="165" t="s">
        <v>90</v>
      </c>
      <c r="E148" s="165" t="s">
        <v>130</v>
      </c>
      <c r="F148" s="175" t="s">
        <v>306</v>
      </c>
      <c r="G148" s="167" t="s">
        <v>150</v>
      </c>
      <c r="H148" s="167" t="s">
        <v>90</v>
      </c>
      <c r="I148" s="168" t="s">
        <v>153</v>
      </c>
      <c r="J148" s="166" t="s">
        <v>111</v>
      </c>
      <c r="K148" s="626">
        <v>27.4</v>
      </c>
      <c r="L148" s="151">
        <f t="shared" si="49"/>
        <v>0</v>
      </c>
      <c r="M148" s="626">
        <v>27.4</v>
      </c>
      <c r="N148" s="626">
        <v>0</v>
      </c>
      <c r="O148" s="177"/>
    </row>
    <row r="149" spans="1:16" s="169" customFormat="1" ht="56.25">
      <c r="A149" s="163"/>
      <c r="B149" s="659" t="s">
        <v>93</v>
      </c>
      <c r="C149" s="164" t="s">
        <v>417</v>
      </c>
      <c r="D149" s="165" t="s">
        <v>90</v>
      </c>
      <c r="E149" s="165" t="s">
        <v>130</v>
      </c>
      <c r="F149" s="182" t="s">
        <v>94</v>
      </c>
      <c r="G149" s="167" t="s">
        <v>95</v>
      </c>
      <c r="H149" s="167" t="s">
        <v>96</v>
      </c>
      <c r="I149" s="168" t="s">
        <v>97</v>
      </c>
      <c r="J149" s="166"/>
      <c r="K149" s="626">
        <f>K150</f>
        <v>5109.8999999999996</v>
      </c>
      <c r="L149" s="626">
        <f>L150</f>
        <v>0</v>
      </c>
      <c r="M149" s="626">
        <f>M150</f>
        <v>5109.8999999999996</v>
      </c>
      <c r="N149" s="626">
        <f>N150</f>
        <v>5038.7</v>
      </c>
      <c r="P149" s="177"/>
    </row>
    <row r="150" spans="1:16" s="169" customFormat="1" ht="37.5">
      <c r="A150" s="163"/>
      <c r="B150" s="158" t="s">
        <v>491</v>
      </c>
      <c r="C150" s="164" t="s">
        <v>417</v>
      </c>
      <c r="D150" s="165" t="s">
        <v>90</v>
      </c>
      <c r="E150" s="165" t="s">
        <v>130</v>
      </c>
      <c r="F150" s="182" t="s">
        <v>94</v>
      </c>
      <c r="G150" s="167" t="s">
        <v>98</v>
      </c>
      <c r="H150" s="167" t="s">
        <v>96</v>
      </c>
      <c r="I150" s="168" t="s">
        <v>97</v>
      </c>
      <c r="J150" s="166"/>
      <c r="K150" s="626">
        <f t="shared" ref="K150:N151" si="50">K151</f>
        <v>5109.8999999999996</v>
      </c>
      <c r="L150" s="626">
        <f t="shared" si="50"/>
        <v>0</v>
      </c>
      <c r="M150" s="626">
        <f t="shared" si="50"/>
        <v>5109.8999999999996</v>
      </c>
      <c r="N150" s="626">
        <f t="shared" si="50"/>
        <v>5038.7</v>
      </c>
      <c r="P150" s="177"/>
    </row>
    <row r="151" spans="1:16" s="169" customFormat="1" ht="75">
      <c r="A151" s="163"/>
      <c r="B151" s="659" t="s">
        <v>420</v>
      </c>
      <c r="C151" s="164" t="s">
        <v>417</v>
      </c>
      <c r="D151" s="165" t="s">
        <v>90</v>
      </c>
      <c r="E151" s="165" t="s">
        <v>130</v>
      </c>
      <c r="F151" s="182" t="s">
        <v>94</v>
      </c>
      <c r="G151" s="167" t="s">
        <v>98</v>
      </c>
      <c r="H151" s="167" t="s">
        <v>141</v>
      </c>
      <c r="I151" s="168" t="s">
        <v>97</v>
      </c>
      <c r="J151" s="166"/>
      <c r="K151" s="626">
        <f t="shared" si="50"/>
        <v>5109.8999999999996</v>
      </c>
      <c r="L151" s="626">
        <f t="shared" si="50"/>
        <v>0</v>
      </c>
      <c r="M151" s="626">
        <f t="shared" si="50"/>
        <v>5109.8999999999996</v>
      </c>
      <c r="N151" s="626">
        <f t="shared" si="50"/>
        <v>5038.7</v>
      </c>
      <c r="P151" s="177"/>
    </row>
    <row r="152" spans="1:16" s="169" customFormat="1" ht="69.599999999999994" customHeight="1">
      <c r="A152" s="163"/>
      <c r="B152" s="659" t="s">
        <v>151</v>
      </c>
      <c r="C152" s="164" t="s">
        <v>417</v>
      </c>
      <c r="D152" s="165" t="s">
        <v>90</v>
      </c>
      <c r="E152" s="165" t="s">
        <v>130</v>
      </c>
      <c r="F152" s="182" t="s">
        <v>94</v>
      </c>
      <c r="G152" s="167" t="s">
        <v>98</v>
      </c>
      <c r="H152" s="167" t="s">
        <v>141</v>
      </c>
      <c r="I152" s="168" t="s">
        <v>153</v>
      </c>
      <c r="J152" s="166"/>
      <c r="K152" s="626">
        <f t="shared" ref="K152" si="51">SUM(K153:K154)</f>
        <v>5109.8999999999996</v>
      </c>
      <c r="L152" s="626">
        <f>SUM(L153:L154)</f>
        <v>0</v>
      </c>
      <c r="M152" s="626">
        <f t="shared" ref="M152:N152" si="52">SUM(M153:M154)</f>
        <v>5109.8999999999996</v>
      </c>
      <c r="N152" s="626">
        <f t="shared" si="52"/>
        <v>5038.7</v>
      </c>
      <c r="P152" s="177"/>
    </row>
    <row r="153" spans="1:16" s="169" customFormat="1" ht="85.9" customHeight="1">
      <c r="A153" s="163"/>
      <c r="B153" s="659" t="s">
        <v>102</v>
      </c>
      <c r="C153" s="164" t="s">
        <v>417</v>
      </c>
      <c r="D153" s="165" t="s">
        <v>90</v>
      </c>
      <c r="E153" s="165" t="s">
        <v>130</v>
      </c>
      <c r="F153" s="182" t="s">
        <v>94</v>
      </c>
      <c r="G153" s="167" t="s">
        <v>98</v>
      </c>
      <c r="H153" s="167" t="s">
        <v>141</v>
      </c>
      <c r="I153" s="168" t="s">
        <v>153</v>
      </c>
      <c r="J153" s="166" t="s">
        <v>103</v>
      </c>
      <c r="K153" s="626">
        <v>5038.7</v>
      </c>
      <c r="L153" s="151">
        <f t="shared" ref="L153:L154" si="53">M153-K153</f>
        <v>0</v>
      </c>
      <c r="M153" s="626">
        <v>5038.7</v>
      </c>
      <c r="N153" s="626">
        <v>5038.7</v>
      </c>
      <c r="P153" s="177"/>
    </row>
    <row r="154" spans="1:16" s="169" customFormat="1" ht="33" customHeight="1">
      <c r="A154" s="163"/>
      <c r="B154" s="149" t="s">
        <v>108</v>
      </c>
      <c r="C154" s="164" t="s">
        <v>417</v>
      </c>
      <c r="D154" s="165" t="s">
        <v>90</v>
      </c>
      <c r="E154" s="165" t="s">
        <v>130</v>
      </c>
      <c r="F154" s="175" t="s">
        <v>94</v>
      </c>
      <c r="G154" s="167" t="s">
        <v>98</v>
      </c>
      <c r="H154" s="167" t="s">
        <v>141</v>
      </c>
      <c r="I154" s="168" t="s">
        <v>153</v>
      </c>
      <c r="J154" s="166" t="s">
        <v>109</v>
      </c>
      <c r="K154" s="626">
        <v>71.2</v>
      </c>
      <c r="L154" s="151">
        <f t="shared" si="53"/>
        <v>0</v>
      </c>
      <c r="M154" s="626">
        <v>71.2</v>
      </c>
      <c r="N154" s="626">
        <v>0</v>
      </c>
      <c r="O154" s="177"/>
    </row>
    <row r="155" spans="1:16" s="178" customFormat="1" ht="18.75">
      <c r="A155" s="180"/>
      <c r="B155" s="156" t="s">
        <v>182</v>
      </c>
      <c r="C155" s="164" t="s">
        <v>417</v>
      </c>
      <c r="D155" s="165" t="s">
        <v>167</v>
      </c>
      <c r="E155" s="165"/>
      <c r="F155" s="174"/>
      <c r="G155" s="181"/>
      <c r="H155" s="181"/>
      <c r="I155" s="660"/>
      <c r="J155" s="661"/>
      <c r="K155" s="662">
        <f>K156</f>
        <v>31438.6</v>
      </c>
      <c r="L155" s="662">
        <f>L156</f>
        <v>12302</v>
      </c>
      <c r="M155" s="662">
        <f>M156</f>
        <v>43740.6</v>
      </c>
      <c r="N155" s="662">
        <f t="shared" ref="K155:N158" si="54">N156</f>
        <v>43740.600000000006</v>
      </c>
      <c r="P155" s="179"/>
    </row>
    <row r="156" spans="1:16" s="178" customFormat="1" ht="18.75">
      <c r="A156" s="180"/>
      <c r="B156" s="156" t="s">
        <v>272</v>
      </c>
      <c r="C156" s="164" t="s">
        <v>417</v>
      </c>
      <c r="D156" s="165" t="s">
        <v>167</v>
      </c>
      <c r="E156" s="165" t="s">
        <v>105</v>
      </c>
      <c r="F156" s="174"/>
      <c r="G156" s="181"/>
      <c r="H156" s="181"/>
      <c r="I156" s="660"/>
      <c r="J156" s="661"/>
      <c r="K156" s="662">
        <f t="shared" si="54"/>
        <v>31438.6</v>
      </c>
      <c r="L156" s="662">
        <f t="shared" si="54"/>
        <v>12302</v>
      </c>
      <c r="M156" s="662">
        <f t="shared" si="54"/>
        <v>43740.6</v>
      </c>
      <c r="N156" s="662">
        <f t="shared" si="54"/>
        <v>43740.600000000006</v>
      </c>
      <c r="P156" s="179"/>
    </row>
    <row r="157" spans="1:16" s="178" customFormat="1" ht="56.25">
      <c r="A157" s="180"/>
      <c r="B157" s="159" t="s">
        <v>407</v>
      </c>
      <c r="C157" s="164" t="s">
        <v>417</v>
      </c>
      <c r="D157" s="165" t="s">
        <v>167</v>
      </c>
      <c r="E157" s="165" t="s">
        <v>105</v>
      </c>
      <c r="F157" s="556" t="s">
        <v>139</v>
      </c>
      <c r="G157" s="557" t="s">
        <v>95</v>
      </c>
      <c r="H157" s="557" t="s">
        <v>96</v>
      </c>
      <c r="I157" s="558" t="s">
        <v>97</v>
      </c>
      <c r="J157" s="661"/>
      <c r="K157" s="662">
        <f t="shared" si="54"/>
        <v>31438.6</v>
      </c>
      <c r="L157" s="662">
        <f t="shared" si="54"/>
        <v>12302</v>
      </c>
      <c r="M157" s="662">
        <f t="shared" si="54"/>
        <v>43740.6</v>
      </c>
      <c r="N157" s="662">
        <f t="shared" si="54"/>
        <v>43740.600000000006</v>
      </c>
      <c r="P157" s="179"/>
    </row>
    <row r="158" spans="1:16" s="178" customFormat="1" ht="37.5">
      <c r="A158" s="180"/>
      <c r="B158" s="149" t="s">
        <v>491</v>
      </c>
      <c r="C158" s="164" t="s">
        <v>417</v>
      </c>
      <c r="D158" s="165" t="s">
        <v>167</v>
      </c>
      <c r="E158" s="165" t="s">
        <v>105</v>
      </c>
      <c r="F158" s="174" t="s">
        <v>139</v>
      </c>
      <c r="G158" s="181" t="s">
        <v>98</v>
      </c>
      <c r="H158" s="557" t="s">
        <v>96</v>
      </c>
      <c r="I158" s="558" t="s">
        <v>97</v>
      </c>
      <c r="J158" s="661"/>
      <c r="K158" s="662">
        <f t="shared" si="54"/>
        <v>31438.6</v>
      </c>
      <c r="L158" s="662">
        <f t="shared" si="54"/>
        <v>12302</v>
      </c>
      <c r="M158" s="662">
        <f t="shared" si="54"/>
        <v>43740.6</v>
      </c>
      <c r="N158" s="662">
        <f t="shared" si="54"/>
        <v>43740.600000000006</v>
      </c>
      <c r="P158" s="179"/>
    </row>
    <row r="159" spans="1:16" s="178" customFormat="1" ht="73.900000000000006" customHeight="1">
      <c r="A159" s="180"/>
      <c r="B159" s="159" t="s">
        <v>421</v>
      </c>
      <c r="C159" s="164" t="s">
        <v>417</v>
      </c>
      <c r="D159" s="165" t="s">
        <v>167</v>
      </c>
      <c r="E159" s="165" t="s">
        <v>105</v>
      </c>
      <c r="F159" s="174" t="s">
        <v>139</v>
      </c>
      <c r="G159" s="181" t="s">
        <v>98</v>
      </c>
      <c r="H159" s="181" t="s">
        <v>92</v>
      </c>
      <c r="I159" s="558" t="s">
        <v>97</v>
      </c>
      <c r="J159" s="661"/>
      <c r="K159" s="662">
        <f>K162+K160</f>
        <v>31438.6</v>
      </c>
      <c r="L159" s="662">
        <f>L162+L160</f>
        <v>12302</v>
      </c>
      <c r="M159" s="662">
        <f>M162+M160</f>
        <v>43740.6</v>
      </c>
      <c r="N159" s="662">
        <f>N162+N160</f>
        <v>43740.600000000006</v>
      </c>
      <c r="P159" s="179"/>
    </row>
    <row r="160" spans="1:16" s="178" customFormat="1" ht="112.5">
      <c r="A160" s="180"/>
      <c r="B160" s="801" t="s">
        <v>422</v>
      </c>
      <c r="C160" s="793" t="s">
        <v>417</v>
      </c>
      <c r="D160" s="794" t="s">
        <v>167</v>
      </c>
      <c r="E160" s="794" t="s">
        <v>105</v>
      </c>
      <c r="F160" s="806" t="s">
        <v>139</v>
      </c>
      <c r="G160" s="802" t="s">
        <v>98</v>
      </c>
      <c r="H160" s="802" t="s">
        <v>92</v>
      </c>
      <c r="I160" s="807" t="s">
        <v>820</v>
      </c>
      <c r="J160" s="804"/>
      <c r="K160" s="706">
        <f>K161</f>
        <v>23245.1</v>
      </c>
      <c r="L160" s="706">
        <f>L161</f>
        <v>12302</v>
      </c>
      <c r="M160" s="706">
        <f>M161</f>
        <v>35547.1</v>
      </c>
      <c r="N160" s="706">
        <f>N161</f>
        <v>35547.100000000006</v>
      </c>
      <c r="P160" s="179"/>
    </row>
    <row r="161" spans="1:17" s="178" customFormat="1" ht="56.25">
      <c r="A161" s="180"/>
      <c r="B161" s="801" t="s">
        <v>282</v>
      </c>
      <c r="C161" s="793" t="s">
        <v>417</v>
      </c>
      <c r="D161" s="794" t="s">
        <v>167</v>
      </c>
      <c r="E161" s="794" t="s">
        <v>105</v>
      </c>
      <c r="F161" s="806" t="s">
        <v>139</v>
      </c>
      <c r="G161" s="802" t="s">
        <v>98</v>
      </c>
      <c r="H161" s="802" t="s">
        <v>92</v>
      </c>
      <c r="I161" s="807" t="s">
        <v>820</v>
      </c>
      <c r="J161" s="804" t="s">
        <v>283</v>
      </c>
      <c r="K161" s="805">
        <f>23307.1-62</f>
        <v>23245.1</v>
      </c>
      <c r="L161" s="706">
        <f>M161-K161</f>
        <v>12302</v>
      </c>
      <c r="M161" s="805">
        <f>23307.1-62+12302</f>
        <v>35547.1</v>
      </c>
      <c r="N161" s="805">
        <f>23308.4-63.3+12302</f>
        <v>35547.100000000006</v>
      </c>
      <c r="P161" s="179"/>
    </row>
    <row r="162" spans="1:17" s="178" customFormat="1" ht="112.5">
      <c r="A162" s="180"/>
      <c r="B162" s="769" t="s">
        <v>422</v>
      </c>
      <c r="C162" s="730" t="s">
        <v>417</v>
      </c>
      <c r="D162" s="731" t="s">
        <v>167</v>
      </c>
      <c r="E162" s="731" t="s">
        <v>105</v>
      </c>
      <c r="F162" s="732" t="s">
        <v>139</v>
      </c>
      <c r="G162" s="770" t="s">
        <v>98</v>
      </c>
      <c r="H162" s="770" t="s">
        <v>92</v>
      </c>
      <c r="I162" s="733" t="s">
        <v>423</v>
      </c>
      <c r="J162" s="771"/>
      <c r="K162" s="721">
        <f>K163</f>
        <v>8193.5</v>
      </c>
      <c r="L162" s="721">
        <f>L163</f>
        <v>0</v>
      </c>
      <c r="M162" s="721">
        <f>M163</f>
        <v>8193.5</v>
      </c>
      <c r="N162" s="721">
        <f>N163</f>
        <v>8193.5</v>
      </c>
      <c r="O162" s="179"/>
    </row>
    <row r="163" spans="1:17" s="178" customFormat="1" ht="56.25">
      <c r="A163" s="180"/>
      <c r="B163" s="769" t="s">
        <v>282</v>
      </c>
      <c r="C163" s="730" t="s">
        <v>417</v>
      </c>
      <c r="D163" s="731" t="s">
        <v>167</v>
      </c>
      <c r="E163" s="731" t="s">
        <v>105</v>
      </c>
      <c r="F163" s="732" t="s">
        <v>139</v>
      </c>
      <c r="G163" s="770" t="s">
        <v>98</v>
      </c>
      <c r="H163" s="770" t="s">
        <v>92</v>
      </c>
      <c r="I163" s="733" t="s">
        <v>423</v>
      </c>
      <c r="J163" s="771" t="s">
        <v>283</v>
      </c>
      <c r="K163" s="772">
        <f>7759.1+434.4</f>
        <v>8193.5</v>
      </c>
      <c r="L163" s="721">
        <f>M163-K163</f>
        <v>0</v>
      </c>
      <c r="M163" s="772">
        <f>7759.1+434.4</f>
        <v>8193.5</v>
      </c>
      <c r="N163" s="772">
        <f>9052.2-858.7</f>
        <v>8193.5</v>
      </c>
      <c r="O163" s="179"/>
    </row>
    <row r="164" spans="1:17" s="176" customFormat="1" ht="18.75">
      <c r="A164" s="163"/>
      <c r="B164" s="659"/>
      <c r="C164" s="690"/>
      <c r="D164" s="691"/>
      <c r="E164" s="691"/>
      <c r="F164" s="692"/>
      <c r="G164" s="692"/>
      <c r="H164" s="692"/>
      <c r="I164" s="693"/>
      <c r="J164" s="691"/>
      <c r="K164" s="626"/>
      <c r="L164" s="626"/>
      <c r="M164" s="626"/>
      <c r="N164" s="626"/>
    </row>
    <row r="165" spans="1:17" s="148" customFormat="1" ht="56.25">
      <c r="A165" s="141">
        <v>5</v>
      </c>
      <c r="B165" s="682" t="s">
        <v>54</v>
      </c>
      <c r="C165" s="143" t="s">
        <v>372</v>
      </c>
      <c r="D165" s="144"/>
      <c r="E165" s="144"/>
      <c r="F165" s="146"/>
      <c r="G165" s="146"/>
      <c r="H165" s="146"/>
      <c r="I165" s="147"/>
      <c r="J165" s="144"/>
      <c r="K165" s="228">
        <f>K166+K236</f>
        <v>841442.49999999977</v>
      </c>
      <c r="L165" s="228">
        <f>L166+L236</f>
        <v>0</v>
      </c>
      <c r="M165" s="228">
        <f>M166+M236</f>
        <v>841442.49999999977</v>
      </c>
      <c r="N165" s="228">
        <f>N166+N236</f>
        <v>818155.59999999986</v>
      </c>
      <c r="P165" s="185"/>
      <c r="Q165" s="185"/>
    </row>
    <row r="166" spans="1:17" s="152" customFormat="1" ht="18.75">
      <c r="A166" s="140"/>
      <c r="B166" s="158" t="s">
        <v>254</v>
      </c>
      <c r="C166" s="150" t="s">
        <v>372</v>
      </c>
      <c r="D166" s="139" t="s">
        <v>304</v>
      </c>
      <c r="E166" s="139"/>
      <c r="F166" s="557"/>
      <c r="G166" s="557"/>
      <c r="H166" s="557"/>
      <c r="I166" s="558"/>
      <c r="J166" s="139"/>
      <c r="K166" s="151">
        <f t="shared" ref="K166" si="55">K167+K177+K222+K201+K214</f>
        <v>832373.29999999981</v>
      </c>
      <c r="L166" s="151">
        <f>L167+L177+L222+L201+L214</f>
        <v>0</v>
      </c>
      <c r="M166" s="151">
        <f t="shared" ref="M166:N166" si="56">M167+M177+M222+M201+M214</f>
        <v>832373.29999999981</v>
      </c>
      <c r="N166" s="151">
        <f t="shared" si="56"/>
        <v>809086.39999999991</v>
      </c>
      <c r="P166" s="186"/>
      <c r="Q166" s="186"/>
    </row>
    <row r="167" spans="1:17" s="148" customFormat="1" ht="18.75">
      <c r="A167" s="140"/>
      <c r="B167" s="158" t="s">
        <v>256</v>
      </c>
      <c r="C167" s="150" t="s">
        <v>372</v>
      </c>
      <c r="D167" s="139" t="s">
        <v>304</v>
      </c>
      <c r="E167" s="139" t="s">
        <v>90</v>
      </c>
      <c r="F167" s="557"/>
      <c r="G167" s="557"/>
      <c r="H167" s="557"/>
      <c r="I167" s="558"/>
      <c r="J167" s="139"/>
      <c r="K167" s="151">
        <f t="shared" ref="K167:N169" si="57">K168</f>
        <v>282079.3</v>
      </c>
      <c r="L167" s="151">
        <f t="shared" si="57"/>
        <v>0</v>
      </c>
      <c r="M167" s="151">
        <f t="shared" si="57"/>
        <v>282079.3</v>
      </c>
      <c r="N167" s="151">
        <f t="shared" si="57"/>
        <v>268897.90000000002</v>
      </c>
    </row>
    <row r="168" spans="1:17" s="148" customFormat="1" ht="56.25">
      <c r="A168" s="140"/>
      <c r="B168" s="158" t="s">
        <v>284</v>
      </c>
      <c r="C168" s="150" t="s">
        <v>372</v>
      </c>
      <c r="D168" s="139" t="s">
        <v>304</v>
      </c>
      <c r="E168" s="139" t="s">
        <v>90</v>
      </c>
      <c r="F168" s="557" t="s">
        <v>92</v>
      </c>
      <c r="G168" s="557" t="s">
        <v>95</v>
      </c>
      <c r="H168" s="557" t="s">
        <v>96</v>
      </c>
      <c r="I168" s="558" t="s">
        <v>97</v>
      </c>
      <c r="J168" s="139"/>
      <c r="K168" s="151">
        <f t="shared" si="57"/>
        <v>282079.3</v>
      </c>
      <c r="L168" s="151">
        <f t="shared" si="57"/>
        <v>0</v>
      </c>
      <c r="M168" s="151">
        <f t="shared" si="57"/>
        <v>282079.3</v>
      </c>
      <c r="N168" s="151">
        <f t="shared" si="57"/>
        <v>268897.90000000002</v>
      </c>
    </row>
    <row r="169" spans="1:17" s="148" customFormat="1" ht="37.5">
      <c r="A169" s="140"/>
      <c r="B169" s="158" t="s">
        <v>285</v>
      </c>
      <c r="C169" s="150" t="s">
        <v>372</v>
      </c>
      <c r="D169" s="139" t="s">
        <v>304</v>
      </c>
      <c r="E169" s="139" t="s">
        <v>90</v>
      </c>
      <c r="F169" s="557" t="s">
        <v>92</v>
      </c>
      <c r="G169" s="557" t="s">
        <v>98</v>
      </c>
      <c r="H169" s="557" t="s">
        <v>96</v>
      </c>
      <c r="I169" s="558" t="s">
        <v>97</v>
      </c>
      <c r="J169" s="139"/>
      <c r="K169" s="151">
        <f t="shared" si="57"/>
        <v>282079.3</v>
      </c>
      <c r="L169" s="151">
        <f t="shared" si="57"/>
        <v>0</v>
      </c>
      <c r="M169" s="151">
        <f t="shared" si="57"/>
        <v>282079.3</v>
      </c>
      <c r="N169" s="151">
        <f t="shared" si="57"/>
        <v>268897.90000000002</v>
      </c>
    </row>
    <row r="170" spans="1:17" s="148" customFormat="1" ht="15.6" customHeight="1">
      <c r="A170" s="140"/>
      <c r="B170" s="158" t="s">
        <v>373</v>
      </c>
      <c r="C170" s="150" t="s">
        <v>372</v>
      </c>
      <c r="D170" s="139" t="s">
        <v>304</v>
      </c>
      <c r="E170" s="139" t="s">
        <v>90</v>
      </c>
      <c r="F170" s="557" t="s">
        <v>92</v>
      </c>
      <c r="G170" s="557" t="s">
        <v>98</v>
      </c>
      <c r="H170" s="557" t="s">
        <v>90</v>
      </c>
      <c r="I170" s="558" t="s">
        <v>97</v>
      </c>
      <c r="J170" s="139"/>
      <c r="K170" s="151">
        <f>K173+K175+K171</f>
        <v>282079.3</v>
      </c>
      <c r="L170" s="151">
        <f>L173+L175+L171</f>
        <v>0</v>
      </c>
      <c r="M170" s="151">
        <f>M173+M175+M171</f>
        <v>282079.3</v>
      </c>
      <c r="N170" s="151">
        <f>N173+N175+N171</f>
        <v>268897.90000000002</v>
      </c>
      <c r="P170" s="187"/>
    </row>
    <row r="171" spans="1:17" s="153" customFormat="1" ht="71.45" customHeight="1">
      <c r="A171" s="140"/>
      <c r="B171" s="158" t="s">
        <v>151</v>
      </c>
      <c r="C171" s="150" t="s">
        <v>372</v>
      </c>
      <c r="D171" s="139" t="s">
        <v>304</v>
      </c>
      <c r="E171" s="139" t="s">
        <v>90</v>
      </c>
      <c r="F171" s="557" t="s">
        <v>92</v>
      </c>
      <c r="G171" s="557" t="s">
        <v>98</v>
      </c>
      <c r="H171" s="557" t="s">
        <v>90</v>
      </c>
      <c r="I171" s="558" t="s">
        <v>153</v>
      </c>
      <c r="J171" s="139"/>
      <c r="K171" s="151">
        <f>K172</f>
        <v>80461.899999999994</v>
      </c>
      <c r="L171" s="151">
        <f>L172</f>
        <v>0</v>
      </c>
      <c r="M171" s="151">
        <f>M172</f>
        <v>80461.899999999994</v>
      </c>
      <c r="N171" s="151">
        <f>N172</f>
        <v>67259.399999999994</v>
      </c>
      <c r="P171" s="694"/>
    </row>
    <row r="172" spans="1:17" s="153" customFormat="1" ht="55.9" customHeight="1">
      <c r="A172" s="140"/>
      <c r="B172" s="158" t="s">
        <v>135</v>
      </c>
      <c r="C172" s="150" t="s">
        <v>372</v>
      </c>
      <c r="D172" s="139" t="s">
        <v>304</v>
      </c>
      <c r="E172" s="139" t="s">
        <v>90</v>
      </c>
      <c r="F172" s="557" t="s">
        <v>92</v>
      </c>
      <c r="G172" s="557" t="s">
        <v>98</v>
      </c>
      <c r="H172" s="557" t="s">
        <v>90</v>
      </c>
      <c r="I172" s="558" t="s">
        <v>153</v>
      </c>
      <c r="J172" s="139" t="s">
        <v>136</v>
      </c>
      <c r="K172" s="151">
        <v>80461.899999999994</v>
      </c>
      <c r="L172" s="151">
        <f>M172-K172</f>
        <v>0</v>
      </c>
      <c r="M172" s="151">
        <v>80461.899999999994</v>
      </c>
      <c r="N172" s="151">
        <v>67259.399999999994</v>
      </c>
      <c r="P172" s="694"/>
    </row>
    <row r="173" spans="1:17" s="148" customFormat="1" ht="175.15" customHeight="1">
      <c r="A173" s="140"/>
      <c r="B173" s="158" t="s">
        <v>374</v>
      </c>
      <c r="C173" s="150" t="s">
        <v>372</v>
      </c>
      <c r="D173" s="139" t="s">
        <v>304</v>
      </c>
      <c r="E173" s="139" t="s">
        <v>90</v>
      </c>
      <c r="F173" s="557" t="s">
        <v>92</v>
      </c>
      <c r="G173" s="557" t="s">
        <v>98</v>
      </c>
      <c r="H173" s="557" t="s">
        <v>90</v>
      </c>
      <c r="I173" s="558" t="s">
        <v>375</v>
      </c>
      <c r="J173" s="139"/>
      <c r="K173" s="151">
        <f>K174</f>
        <v>529.5</v>
      </c>
      <c r="L173" s="151">
        <f>L174</f>
        <v>0</v>
      </c>
      <c r="M173" s="151">
        <f>M174</f>
        <v>529.5</v>
      </c>
      <c r="N173" s="151">
        <f>N174</f>
        <v>550.59999999999991</v>
      </c>
      <c r="P173" s="187"/>
    </row>
    <row r="174" spans="1:17" s="148" customFormat="1" ht="56.25">
      <c r="A174" s="140"/>
      <c r="B174" s="158" t="s">
        <v>135</v>
      </c>
      <c r="C174" s="150" t="s">
        <v>372</v>
      </c>
      <c r="D174" s="139" t="s">
        <v>304</v>
      </c>
      <c r="E174" s="139" t="s">
        <v>90</v>
      </c>
      <c r="F174" s="557" t="s">
        <v>92</v>
      </c>
      <c r="G174" s="557" t="s">
        <v>98</v>
      </c>
      <c r="H174" s="557" t="s">
        <v>90</v>
      </c>
      <c r="I174" s="558" t="s">
        <v>375</v>
      </c>
      <c r="J174" s="139" t="s">
        <v>136</v>
      </c>
      <c r="K174" s="151">
        <f>579.2-49.7</f>
        <v>529.5</v>
      </c>
      <c r="L174" s="151">
        <f>M174-K174</f>
        <v>0</v>
      </c>
      <c r="M174" s="151">
        <f>579.2-49.7</f>
        <v>529.5</v>
      </c>
      <c r="N174" s="151">
        <f>593.8-43.2</f>
        <v>550.59999999999991</v>
      </c>
    </row>
    <row r="175" spans="1:17" s="148" customFormat="1" ht="131.25">
      <c r="A175" s="140"/>
      <c r="B175" s="158" t="s">
        <v>503</v>
      </c>
      <c r="C175" s="150" t="s">
        <v>372</v>
      </c>
      <c r="D175" s="139" t="s">
        <v>304</v>
      </c>
      <c r="E175" s="139" t="s">
        <v>90</v>
      </c>
      <c r="F175" s="557" t="s">
        <v>92</v>
      </c>
      <c r="G175" s="557" t="s">
        <v>98</v>
      </c>
      <c r="H175" s="557" t="s">
        <v>90</v>
      </c>
      <c r="I175" s="558" t="s">
        <v>376</v>
      </c>
      <c r="J175" s="139"/>
      <c r="K175" s="151">
        <f>K176</f>
        <v>201087.9</v>
      </c>
      <c r="L175" s="151">
        <f>L176</f>
        <v>0</v>
      </c>
      <c r="M175" s="151">
        <f>M176</f>
        <v>201087.9</v>
      </c>
      <c r="N175" s="151">
        <f>N176</f>
        <v>201087.9</v>
      </c>
    </row>
    <row r="176" spans="1:17" s="148" customFormat="1" ht="56.25">
      <c r="A176" s="140"/>
      <c r="B176" s="158" t="s">
        <v>135</v>
      </c>
      <c r="C176" s="150" t="s">
        <v>372</v>
      </c>
      <c r="D176" s="139" t="s">
        <v>304</v>
      </c>
      <c r="E176" s="139" t="s">
        <v>90</v>
      </c>
      <c r="F176" s="557" t="s">
        <v>92</v>
      </c>
      <c r="G176" s="557" t="s">
        <v>98</v>
      </c>
      <c r="H176" s="557" t="s">
        <v>90</v>
      </c>
      <c r="I176" s="558" t="s">
        <v>376</v>
      </c>
      <c r="J176" s="139" t="s">
        <v>136</v>
      </c>
      <c r="K176" s="151">
        <v>201087.9</v>
      </c>
      <c r="L176" s="151">
        <f>M176-K176</f>
        <v>0</v>
      </c>
      <c r="M176" s="151">
        <v>201087.9</v>
      </c>
      <c r="N176" s="151">
        <v>201087.9</v>
      </c>
    </row>
    <row r="177" spans="1:14" s="148" customFormat="1" ht="18.75">
      <c r="A177" s="140"/>
      <c r="B177" s="158" t="s">
        <v>258</v>
      </c>
      <c r="C177" s="150" t="s">
        <v>372</v>
      </c>
      <c r="D177" s="139" t="s">
        <v>304</v>
      </c>
      <c r="E177" s="139" t="s">
        <v>92</v>
      </c>
      <c r="F177" s="557"/>
      <c r="G177" s="557"/>
      <c r="H177" s="557"/>
      <c r="I177" s="558"/>
      <c r="J177" s="139"/>
      <c r="K177" s="151">
        <f>K178</f>
        <v>463725.29999999993</v>
      </c>
      <c r="L177" s="151">
        <f>L178</f>
        <v>0</v>
      </c>
      <c r="M177" s="151">
        <f>M178</f>
        <v>463725.29999999993</v>
      </c>
      <c r="N177" s="151">
        <f>N178</f>
        <v>456174.89999999991</v>
      </c>
    </row>
    <row r="178" spans="1:14" s="148" customFormat="1" ht="56.25">
      <c r="A178" s="140"/>
      <c r="B178" s="158" t="s">
        <v>284</v>
      </c>
      <c r="C178" s="150" t="s">
        <v>372</v>
      </c>
      <c r="D178" s="139" t="s">
        <v>304</v>
      </c>
      <c r="E178" s="139" t="s">
        <v>92</v>
      </c>
      <c r="F178" s="557" t="s">
        <v>92</v>
      </c>
      <c r="G178" s="557" t="s">
        <v>95</v>
      </c>
      <c r="H178" s="557" t="s">
        <v>96</v>
      </c>
      <c r="I178" s="558" t="s">
        <v>97</v>
      </c>
      <c r="J178" s="139"/>
      <c r="K178" s="151">
        <f>K179+K197</f>
        <v>463725.29999999993</v>
      </c>
      <c r="L178" s="151">
        <f>L179+L197</f>
        <v>0</v>
      </c>
      <c r="M178" s="151">
        <f>M179+M197</f>
        <v>463725.29999999993</v>
      </c>
      <c r="N178" s="151">
        <f>N179+N197</f>
        <v>456174.89999999991</v>
      </c>
    </row>
    <row r="179" spans="1:14" s="148" customFormat="1" ht="37.5">
      <c r="A179" s="140"/>
      <c r="B179" s="158" t="s">
        <v>285</v>
      </c>
      <c r="C179" s="150" t="s">
        <v>372</v>
      </c>
      <c r="D179" s="139" t="s">
        <v>304</v>
      </c>
      <c r="E179" s="139" t="s">
        <v>92</v>
      </c>
      <c r="F179" s="557" t="s">
        <v>92</v>
      </c>
      <c r="G179" s="557" t="s">
        <v>98</v>
      </c>
      <c r="H179" s="557" t="s">
        <v>96</v>
      </c>
      <c r="I179" s="558" t="s">
        <v>97</v>
      </c>
      <c r="J179" s="139"/>
      <c r="K179" s="151">
        <f>K180</f>
        <v>461653.19999999995</v>
      </c>
      <c r="L179" s="151">
        <f>L180</f>
        <v>0</v>
      </c>
      <c r="M179" s="151">
        <f>M180</f>
        <v>461653.19999999995</v>
      </c>
      <c r="N179" s="151">
        <f>N180</f>
        <v>454102.79999999993</v>
      </c>
    </row>
    <row r="180" spans="1:14" s="148" customFormat="1" ht="18.75">
      <c r="A180" s="140"/>
      <c r="B180" s="158" t="s">
        <v>378</v>
      </c>
      <c r="C180" s="150" t="s">
        <v>372</v>
      </c>
      <c r="D180" s="139" t="s">
        <v>304</v>
      </c>
      <c r="E180" s="139" t="s">
        <v>92</v>
      </c>
      <c r="F180" s="557" t="s">
        <v>92</v>
      </c>
      <c r="G180" s="557" t="s">
        <v>98</v>
      </c>
      <c r="H180" s="557" t="s">
        <v>92</v>
      </c>
      <c r="I180" s="558" t="s">
        <v>97</v>
      </c>
      <c r="J180" s="139"/>
      <c r="K180" s="151">
        <f>K186+K190+K194+K181</f>
        <v>461653.19999999995</v>
      </c>
      <c r="L180" s="151">
        <f>L186+L190+L194+L181</f>
        <v>0</v>
      </c>
      <c r="M180" s="151">
        <f>M186+M190+M194+M181</f>
        <v>461653.19999999995</v>
      </c>
      <c r="N180" s="151">
        <f>N186+N190+N194+N181</f>
        <v>454102.79999999993</v>
      </c>
    </row>
    <row r="181" spans="1:14" s="153" customFormat="1" ht="73.900000000000006" customHeight="1">
      <c r="A181" s="140"/>
      <c r="B181" s="158" t="s">
        <v>151</v>
      </c>
      <c r="C181" s="150" t="s">
        <v>372</v>
      </c>
      <c r="D181" s="139" t="s">
        <v>304</v>
      </c>
      <c r="E181" s="139" t="s">
        <v>92</v>
      </c>
      <c r="F181" s="557" t="s">
        <v>92</v>
      </c>
      <c r="G181" s="557" t="s">
        <v>98</v>
      </c>
      <c r="H181" s="557" t="s">
        <v>92</v>
      </c>
      <c r="I181" s="558" t="s">
        <v>153</v>
      </c>
      <c r="J181" s="139"/>
      <c r="K181" s="151">
        <f>SUM(K182:K185)</f>
        <v>71283.799999999988</v>
      </c>
      <c r="L181" s="151">
        <f>SUM(L182:L185)</f>
        <v>0</v>
      </c>
      <c r="M181" s="151">
        <f>SUM(M182:M185)</f>
        <v>71283.799999999988</v>
      </c>
      <c r="N181" s="151">
        <f>SUM(N182:N185)</f>
        <v>63584.600000000006</v>
      </c>
    </row>
    <row r="182" spans="1:14" s="153" customFormat="1" ht="93" customHeight="1">
      <c r="A182" s="140"/>
      <c r="B182" s="149" t="s">
        <v>102</v>
      </c>
      <c r="C182" s="150" t="s">
        <v>372</v>
      </c>
      <c r="D182" s="139" t="s">
        <v>304</v>
      </c>
      <c r="E182" s="139" t="s">
        <v>92</v>
      </c>
      <c r="F182" s="556" t="s">
        <v>92</v>
      </c>
      <c r="G182" s="557" t="s">
        <v>98</v>
      </c>
      <c r="H182" s="557" t="s">
        <v>92</v>
      </c>
      <c r="I182" s="558" t="s">
        <v>153</v>
      </c>
      <c r="J182" s="139" t="s">
        <v>103</v>
      </c>
      <c r="K182" s="151">
        <v>3791.6</v>
      </c>
      <c r="L182" s="151">
        <f t="shared" ref="L182:L185" si="58">M182-K182</f>
        <v>0</v>
      </c>
      <c r="M182" s="151">
        <v>3791.6</v>
      </c>
      <c r="N182" s="151">
        <v>3791.6</v>
      </c>
    </row>
    <row r="183" spans="1:14" s="153" customFormat="1" ht="36.6" customHeight="1">
      <c r="A183" s="140"/>
      <c r="B183" s="149" t="s">
        <v>108</v>
      </c>
      <c r="C183" s="150" t="s">
        <v>372</v>
      </c>
      <c r="D183" s="139" t="s">
        <v>304</v>
      </c>
      <c r="E183" s="139" t="s">
        <v>92</v>
      </c>
      <c r="F183" s="556" t="s">
        <v>92</v>
      </c>
      <c r="G183" s="557" t="s">
        <v>98</v>
      </c>
      <c r="H183" s="557" t="s">
        <v>92</v>
      </c>
      <c r="I183" s="558" t="s">
        <v>153</v>
      </c>
      <c r="J183" s="139" t="s">
        <v>109</v>
      </c>
      <c r="K183" s="151">
        <v>3218.8</v>
      </c>
      <c r="L183" s="151">
        <f t="shared" si="58"/>
        <v>0</v>
      </c>
      <c r="M183" s="151">
        <v>3218.8</v>
      </c>
      <c r="N183" s="151">
        <v>1518.2</v>
      </c>
    </row>
    <row r="184" spans="1:14" s="153" customFormat="1" ht="56.25">
      <c r="A184" s="140"/>
      <c r="B184" s="158" t="s">
        <v>135</v>
      </c>
      <c r="C184" s="150" t="s">
        <v>372</v>
      </c>
      <c r="D184" s="139" t="s">
        <v>304</v>
      </c>
      <c r="E184" s="139" t="s">
        <v>92</v>
      </c>
      <c r="F184" s="557" t="s">
        <v>92</v>
      </c>
      <c r="G184" s="557" t="s">
        <v>98</v>
      </c>
      <c r="H184" s="557" t="s">
        <v>92</v>
      </c>
      <c r="I184" s="558" t="s">
        <v>153</v>
      </c>
      <c r="J184" s="139" t="s">
        <v>136</v>
      </c>
      <c r="K184" s="151">
        <f>63783.2-198</f>
        <v>63585.2</v>
      </c>
      <c r="L184" s="151">
        <f t="shared" si="58"/>
        <v>0</v>
      </c>
      <c r="M184" s="151">
        <f>63783.2-198</f>
        <v>63585.2</v>
      </c>
      <c r="N184" s="151">
        <f>57796.9-197.5</f>
        <v>57599.4</v>
      </c>
    </row>
    <row r="185" spans="1:14" s="153" customFormat="1" ht="18.75">
      <c r="A185" s="140"/>
      <c r="B185" s="158" t="s">
        <v>110</v>
      </c>
      <c r="C185" s="150" t="s">
        <v>372</v>
      </c>
      <c r="D185" s="139" t="s">
        <v>304</v>
      </c>
      <c r="E185" s="139" t="s">
        <v>92</v>
      </c>
      <c r="F185" s="557" t="s">
        <v>92</v>
      </c>
      <c r="G185" s="557" t="s">
        <v>98</v>
      </c>
      <c r="H185" s="557" t="s">
        <v>92</v>
      </c>
      <c r="I185" s="558" t="s">
        <v>153</v>
      </c>
      <c r="J185" s="139" t="s">
        <v>111</v>
      </c>
      <c r="K185" s="151">
        <v>688.2</v>
      </c>
      <c r="L185" s="151">
        <f t="shared" si="58"/>
        <v>0</v>
      </c>
      <c r="M185" s="151">
        <v>688.2</v>
      </c>
      <c r="N185" s="151">
        <v>675.4</v>
      </c>
    </row>
    <row r="186" spans="1:14" s="148" customFormat="1" ht="18.75">
      <c r="A186" s="140"/>
      <c r="B186" s="158" t="s">
        <v>374</v>
      </c>
      <c r="C186" s="150" t="s">
        <v>372</v>
      </c>
      <c r="D186" s="139" t="s">
        <v>304</v>
      </c>
      <c r="E186" s="139" t="s">
        <v>92</v>
      </c>
      <c r="F186" s="557" t="s">
        <v>92</v>
      </c>
      <c r="G186" s="557" t="s">
        <v>98</v>
      </c>
      <c r="H186" s="557" t="s">
        <v>92</v>
      </c>
      <c r="I186" s="558" t="s">
        <v>375</v>
      </c>
      <c r="J186" s="139"/>
      <c r="K186" s="151">
        <f>SUM(K187:K189)</f>
        <v>1829.1</v>
      </c>
      <c r="L186" s="151">
        <f>SUM(L187:L189)</f>
        <v>0</v>
      </c>
      <c r="M186" s="151">
        <f>SUM(M187:M189)</f>
        <v>1829.1</v>
      </c>
      <c r="N186" s="151">
        <f>SUM(N187:N189)</f>
        <v>1902.3</v>
      </c>
    </row>
    <row r="187" spans="1:14" s="148" customFormat="1" ht="94.9" customHeight="1">
      <c r="A187" s="140"/>
      <c r="B187" s="149" t="s">
        <v>102</v>
      </c>
      <c r="C187" s="150" t="s">
        <v>372</v>
      </c>
      <c r="D187" s="139" t="s">
        <v>304</v>
      </c>
      <c r="E187" s="139" t="s">
        <v>92</v>
      </c>
      <c r="F187" s="556" t="s">
        <v>92</v>
      </c>
      <c r="G187" s="557" t="s">
        <v>98</v>
      </c>
      <c r="H187" s="557" t="s">
        <v>92</v>
      </c>
      <c r="I187" s="558" t="s">
        <v>375</v>
      </c>
      <c r="J187" s="139" t="s">
        <v>103</v>
      </c>
      <c r="K187" s="151">
        <v>138.30000000000001</v>
      </c>
      <c r="L187" s="151">
        <f t="shared" ref="L187:L189" si="59">M187-K187</f>
        <v>0</v>
      </c>
      <c r="M187" s="151">
        <v>138.30000000000001</v>
      </c>
      <c r="N187" s="151">
        <v>138.30000000000001</v>
      </c>
    </row>
    <row r="188" spans="1:14" s="148" customFormat="1" ht="37.5">
      <c r="A188" s="140"/>
      <c r="B188" s="149" t="s">
        <v>183</v>
      </c>
      <c r="C188" s="150" t="s">
        <v>372</v>
      </c>
      <c r="D188" s="139" t="s">
        <v>304</v>
      </c>
      <c r="E188" s="139" t="s">
        <v>92</v>
      </c>
      <c r="F188" s="556" t="s">
        <v>92</v>
      </c>
      <c r="G188" s="557" t="s">
        <v>98</v>
      </c>
      <c r="H188" s="557" t="s">
        <v>92</v>
      </c>
      <c r="I188" s="558" t="s">
        <v>375</v>
      </c>
      <c r="J188" s="139" t="s">
        <v>184</v>
      </c>
      <c r="K188" s="151">
        <v>14</v>
      </c>
      <c r="L188" s="151">
        <f t="shared" si="59"/>
        <v>0</v>
      </c>
      <c r="M188" s="151">
        <v>14</v>
      </c>
      <c r="N188" s="151">
        <v>14</v>
      </c>
    </row>
    <row r="189" spans="1:14" s="148" customFormat="1" ht="56.25">
      <c r="A189" s="140"/>
      <c r="B189" s="158" t="s">
        <v>135</v>
      </c>
      <c r="C189" s="150" t="s">
        <v>372</v>
      </c>
      <c r="D189" s="139" t="s">
        <v>304</v>
      </c>
      <c r="E189" s="139" t="s">
        <v>92</v>
      </c>
      <c r="F189" s="557" t="s">
        <v>92</v>
      </c>
      <c r="G189" s="557" t="s">
        <v>98</v>
      </c>
      <c r="H189" s="557" t="s">
        <v>92</v>
      </c>
      <c r="I189" s="558" t="s">
        <v>375</v>
      </c>
      <c r="J189" s="139" t="s">
        <v>136</v>
      </c>
      <c r="K189" s="151">
        <f>1591.2+85.6</f>
        <v>1676.8</v>
      </c>
      <c r="L189" s="151">
        <f t="shared" si="59"/>
        <v>0</v>
      </c>
      <c r="M189" s="151">
        <f>1591.2+85.6</f>
        <v>1676.8</v>
      </c>
      <c r="N189" s="151">
        <f>1667.3+82.7</f>
        <v>1750</v>
      </c>
    </row>
    <row r="190" spans="1:14" s="148" customFormat="1" ht="131.25">
      <c r="A190" s="140"/>
      <c r="B190" s="158" t="s">
        <v>503</v>
      </c>
      <c r="C190" s="150" t="s">
        <v>372</v>
      </c>
      <c r="D190" s="139" t="s">
        <v>304</v>
      </c>
      <c r="E190" s="139" t="s">
        <v>92</v>
      </c>
      <c r="F190" s="557" t="s">
        <v>92</v>
      </c>
      <c r="G190" s="557" t="s">
        <v>98</v>
      </c>
      <c r="H190" s="557" t="s">
        <v>92</v>
      </c>
      <c r="I190" s="558" t="s">
        <v>376</v>
      </c>
      <c r="J190" s="139"/>
      <c r="K190" s="151">
        <f>K191+K192+K193</f>
        <v>384214.1</v>
      </c>
      <c r="L190" s="151">
        <f>L191+L192+L193</f>
        <v>0</v>
      </c>
      <c r="M190" s="151">
        <f>M191+M192+M193</f>
        <v>384214.1</v>
      </c>
      <c r="N190" s="151">
        <f>N191+N192+N193</f>
        <v>384214.1</v>
      </c>
    </row>
    <row r="191" spans="1:14" s="148" customFormat="1" ht="90.6" customHeight="1">
      <c r="A191" s="140"/>
      <c r="B191" s="158" t="s">
        <v>102</v>
      </c>
      <c r="C191" s="150" t="s">
        <v>372</v>
      </c>
      <c r="D191" s="139" t="s">
        <v>304</v>
      </c>
      <c r="E191" s="139" t="s">
        <v>92</v>
      </c>
      <c r="F191" s="557" t="s">
        <v>92</v>
      </c>
      <c r="G191" s="557" t="s">
        <v>98</v>
      </c>
      <c r="H191" s="557" t="s">
        <v>92</v>
      </c>
      <c r="I191" s="558" t="s">
        <v>376</v>
      </c>
      <c r="J191" s="139" t="s">
        <v>103</v>
      </c>
      <c r="K191" s="151">
        <f>29719.1+566.4</f>
        <v>30285.5</v>
      </c>
      <c r="L191" s="151">
        <f t="shared" ref="L191:L193" si="60">M191-K191</f>
        <v>0</v>
      </c>
      <c r="M191" s="151">
        <f>29719.1+566.4</f>
        <v>30285.5</v>
      </c>
      <c r="N191" s="151">
        <f>29719.1+566.4</f>
        <v>30285.5</v>
      </c>
    </row>
    <row r="192" spans="1:14" s="148" customFormat="1" ht="33" customHeight="1">
      <c r="A192" s="140"/>
      <c r="B192" s="158" t="s">
        <v>108</v>
      </c>
      <c r="C192" s="150" t="s">
        <v>372</v>
      </c>
      <c r="D192" s="139" t="s">
        <v>304</v>
      </c>
      <c r="E192" s="139" t="s">
        <v>92</v>
      </c>
      <c r="F192" s="557" t="s">
        <v>92</v>
      </c>
      <c r="G192" s="557" t="s">
        <v>98</v>
      </c>
      <c r="H192" s="557" t="s">
        <v>92</v>
      </c>
      <c r="I192" s="558" t="s">
        <v>376</v>
      </c>
      <c r="J192" s="139" t="s">
        <v>109</v>
      </c>
      <c r="K192" s="151">
        <f>1729.7+36.1</f>
        <v>1765.8</v>
      </c>
      <c r="L192" s="151">
        <f t="shared" si="60"/>
        <v>0</v>
      </c>
      <c r="M192" s="151">
        <f>1729.7+36.1</f>
        <v>1765.8</v>
      </c>
      <c r="N192" s="151">
        <f>1729.7+36.1</f>
        <v>1765.8</v>
      </c>
    </row>
    <row r="193" spans="1:14" s="148" customFormat="1" ht="56.25">
      <c r="A193" s="140"/>
      <c r="B193" s="158" t="s">
        <v>135</v>
      </c>
      <c r="C193" s="150" t="s">
        <v>372</v>
      </c>
      <c r="D193" s="139" t="s">
        <v>304</v>
      </c>
      <c r="E193" s="139" t="s">
        <v>92</v>
      </c>
      <c r="F193" s="557" t="s">
        <v>92</v>
      </c>
      <c r="G193" s="557" t="s">
        <v>98</v>
      </c>
      <c r="H193" s="557" t="s">
        <v>92</v>
      </c>
      <c r="I193" s="558" t="s">
        <v>376</v>
      </c>
      <c r="J193" s="139" t="s">
        <v>136</v>
      </c>
      <c r="K193" s="151">
        <f>345592.1+6570.7</f>
        <v>352162.8</v>
      </c>
      <c r="L193" s="151">
        <f t="shared" si="60"/>
        <v>0</v>
      </c>
      <c r="M193" s="151">
        <f>345592.1+6570.7</f>
        <v>352162.8</v>
      </c>
      <c r="N193" s="151">
        <f>345592.1+6570.7</f>
        <v>352162.8</v>
      </c>
    </row>
    <row r="194" spans="1:14" s="148" customFormat="1" ht="93.75">
      <c r="A194" s="140"/>
      <c r="B194" s="158" t="s">
        <v>289</v>
      </c>
      <c r="C194" s="150" t="s">
        <v>372</v>
      </c>
      <c r="D194" s="139" t="s">
        <v>304</v>
      </c>
      <c r="E194" s="139" t="s">
        <v>92</v>
      </c>
      <c r="F194" s="557" t="s">
        <v>92</v>
      </c>
      <c r="G194" s="557" t="s">
        <v>98</v>
      </c>
      <c r="H194" s="557" t="s">
        <v>92</v>
      </c>
      <c r="I194" s="558" t="s">
        <v>382</v>
      </c>
      <c r="J194" s="139"/>
      <c r="K194" s="151">
        <f>SUM(K195:K196)</f>
        <v>4326.2</v>
      </c>
      <c r="L194" s="151">
        <f>SUM(L195:L196)</f>
        <v>0</v>
      </c>
      <c r="M194" s="151">
        <f>SUM(M195:M196)</f>
        <v>4326.2</v>
      </c>
      <c r="N194" s="151">
        <f>SUM(N195:N196)</f>
        <v>4401.8</v>
      </c>
    </row>
    <row r="195" spans="1:14" s="148" customFormat="1" ht="43.9" customHeight="1">
      <c r="A195" s="140"/>
      <c r="B195" s="149" t="s">
        <v>108</v>
      </c>
      <c r="C195" s="150" t="s">
        <v>372</v>
      </c>
      <c r="D195" s="139" t="s">
        <v>304</v>
      </c>
      <c r="E195" s="139" t="s">
        <v>92</v>
      </c>
      <c r="F195" s="556" t="s">
        <v>92</v>
      </c>
      <c r="G195" s="557" t="s">
        <v>98</v>
      </c>
      <c r="H195" s="557" t="s">
        <v>92</v>
      </c>
      <c r="I195" s="558" t="s">
        <v>382</v>
      </c>
      <c r="J195" s="139" t="s">
        <v>109</v>
      </c>
      <c r="K195" s="151">
        <v>239.1</v>
      </c>
      <c r="L195" s="151">
        <f t="shared" ref="L195:L196" si="61">M195-K195</f>
        <v>0</v>
      </c>
      <c r="M195" s="151">
        <v>239.1</v>
      </c>
      <c r="N195" s="151">
        <v>256.2</v>
      </c>
    </row>
    <row r="196" spans="1:14" s="148" customFormat="1" ht="56.25">
      <c r="A196" s="140"/>
      <c r="B196" s="158" t="s">
        <v>135</v>
      </c>
      <c r="C196" s="150" t="s">
        <v>372</v>
      </c>
      <c r="D196" s="139" t="s">
        <v>304</v>
      </c>
      <c r="E196" s="139" t="s">
        <v>92</v>
      </c>
      <c r="F196" s="557" t="s">
        <v>92</v>
      </c>
      <c r="G196" s="557" t="s">
        <v>98</v>
      </c>
      <c r="H196" s="557" t="s">
        <v>92</v>
      </c>
      <c r="I196" s="558" t="s">
        <v>382</v>
      </c>
      <c r="J196" s="139" t="s">
        <v>136</v>
      </c>
      <c r="K196" s="151">
        <v>4087.1</v>
      </c>
      <c r="L196" s="151">
        <f t="shared" si="61"/>
        <v>0</v>
      </c>
      <c r="M196" s="151">
        <v>4087.1</v>
      </c>
      <c r="N196" s="151">
        <v>4145.6000000000004</v>
      </c>
    </row>
    <row r="197" spans="1:14" s="148" customFormat="1" ht="56.25">
      <c r="A197" s="140"/>
      <c r="B197" s="158" t="s">
        <v>292</v>
      </c>
      <c r="C197" s="150" t="s">
        <v>372</v>
      </c>
      <c r="D197" s="139" t="s">
        <v>304</v>
      </c>
      <c r="E197" s="139" t="s">
        <v>92</v>
      </c>
      <c r="F197" s="557" t="s">
        <v>92</v>
      </c>
      <c r="G197" s="557" t="s">
        <v>83</v>
      </c>
      <c r="H197" s="557" t="s">
        <v>96</v>
      </c>
      <c r="I197" s="558" t="s">
        <v>97</v>
      </c>
      <c r="J197" s="139"/>
      <c r="K197" s="151">
        <f t="shared" ref="K197:N199" si="62">K198</f>
        <v>2072.1</v>
      </c>
      <c r="L197" s="151">
        <f t="shared" si="62"/>
        <v>0</v>
      </c>
      <c r="M197" s="151">
        <f t="shared" si="62"/>
        <v>2072.1</v>
      </c>
      <c r="N197" s="151">
        <f t="shared" si="62"/>
        <v>2072.1</v>
      </c>
    </row>
    <row r="198" spans="1:14" s="148" customFormat="1" ht="37.5">
      <c r="A198" s="140"/>
      <c r="B198" s="158" t="s">
        <v>389</v>
      </c>
      <c r="C198" s="150" t="s">
        <v>372</v>
      </c>
      <c r="D198" s="139" t="s">
        <v>304</v>
      </c>
      <c r="E198" s="139" t="s">
        <v>92</v>
      </c>
      <c r="F198" s="557" t="s">
        <v>92</v>
      </c>
      <c r="G198" s="557" t="s">
        <v>83</v>
      </c>
      <c r="H198" s="557" t="s">
        <v>90</v>
      </c>
      <c r="I198" s="558" t="s">
        <v>97</v>
      </c>
      <c r="J198" s="139"/>
      <c r="K198" s="151">
        <f t="shared" si="62"/>
        <v>2072.1</v>
      </c>
      <c r="L198" s="151">
        <f t="shared" si="62"/>
        <v>0</v>
      </c>
      <c r="M198" s="151">
        <f t="shared" si="62"/>
        <v>2072.1</v>
      </c>
      <c r="N198" s="151">
        <f t="shared" si="62"/>
        <v>2072.1</v>
      </c>
    </row>
    <row r="199" spans="1:14" s="148" customFormat="1" ht="18.75">
      <c r="A199" s="140"/>
      <c r="B199" s="149" t="s">
        <v>810</v>
      </c>
      <c r="C199" s="150" t="s">
        <v>372</v>
      </c>
      <c r="D199" s="139" t="s">
        <v>304</v>
      </c>
      <c r="E199" s="139" t="s">
        <v>92</v>
      </c>
      <c r="F199" s="557" t="s">
        <v>92</v>
      </c>
      <c r="G199" s="557" t="s">
        <v>83</v>
      </c>
      <c r="H199" s="557" t="s">
        <v>90</v>
      </c>
      <c r="I199" s="558" t="s">
        <v>504</v>
      </c>
      <c r="J199" s="139"/>
      <c r="K199" s="151">
        <f t="shared" si="62"/>
        <v>2072.1</v>
      </c>
      <c r="L199" s="151">
        <f t="shared" si="62"/>
        <v>0</v>
      </c>
      <c r="M199" s="151">
        <f t="shared" si="62"/>
        <v>2072.1</v>
      </c>
      <c r="N199" s="151">
        <f t="shared" si="62"/>
        <v>2072.1</v>
      </c>
    </row>
    <row r="200" spans="1:14" s="148" customFormat="1" ht="56.25">
      <c r="A200" s="140"/>
      <c r="B200" s="158" t="s">
        <v>135</v>
      </c>
      <c r="C200" s="150" t="s">
        <v>372</v>
      </c>
      <c r="D200" s="139" t="s">
        <v>304</v>
      </c>
      <c r="E200" s="139" t="s">
        <v>92</v>
      </c>
      <c r="F200" s="557" t="s">
        <v>92</v>
      </c>
      <c r="G200" s="557" t="s">
        <v>83</v>
      </c>
      <c r="H200" s="557" t="s">
        <v>90</v>
      </c>
      <c r="I200" s="558" t="s">
        <v>504</v>
      </c>
      <c r="J200" s="139" t="s">
        <v>136</v>
      </c>
      <c r="K200" s="151">
        <v>2072.1</v>
      </c>
      <c r="L200" s="151">
        <f>M200-K200</f>
        <v>0</v>
      </c>
      <c r="M200" s="151">
        <v>2072.1</v>
      </c>
      <c r="N200" s="151">
        <v>2072.1</v>
      </c>
    </row>
    <row r="201" spans="1:14" s="148" customFormat="1" ht="18.75">
      <c r="A201" s="140"/>
      <c r="B201" s="158" t="s">
        <v>517</v>
      </c>
      <c r="C201" s="150" t="s">
        <v>372</v>
      </c>
      <c r="D201" s="139" t="s">
        <v>304</v>
      </c>
      <c r="E201" s="139" t="s">
        <v>119</v>
      </c>
      <c r="F201" s="557"/>
      <c r="G201" s="557"/>
      <c r="H201" s="557"/>
      <c r="I201" s="558"/>
      <c r="J201" s="139"/>
      <c r="K201" s="151">
        <f t="shared" ref="K201:N203" si="63">K202</f>
        <v>43264.6</v>
      </c>
      <c r="L201" s="151">
        <f t="shared" si="63"/>
        <v>0</v>
      </c>
      <c r="M201" s="151">
        <f t="shared" si="63"/>
        <v>43264.6</v>
      </c>
      <c r="N201" s="151">
        <f t="shared" si="63"/>
        <v>41646.799999999996</v>
      </c>
    </row>
    <row r="202" spans="1:14" s="148" customFormat="1" ht="56.25">
      <c r="A202" s="140"/>
      <c r="B202" s="695" t="s">
        <v>284</v>
      </c>
      <c r="C202" s="150" t="s">
        <v>372</v>
      </c>
      <c r="D202" s="139" t="s">
        <v>304</v>
      </c>
      <c r="E202" s="139" t="s">
        <v>119</v>
      </c>
      <c r="F202" s="557" t="s">
        <v>92</v>
      </c>
      <c r="G202" s="557" t="s">
        <v>95</v>
      </c>
      <c r="H202" s="557" t="s">
        <v>96</v>
      </c>
      <c r="I202" s="558" t="s">
        <v>97</v>
      </c>
      <c r="J202" s="139"/>
      <c r="K202" s="151">
        <f t="shared" si="63"/>
        <v>43264.6</v>
      </c>
      <c r="L202" s="151">
        <f t="shared" si="63"/>
        <v>0</v>
      </c>
      <c r="M202" s="151">
        <f t="shared" si="63"/>
        <v>43264.6</v>
      </c>
      <c r="N202" s="151">
        <f t="shared" si="63"/>
        <v>41646.799999999996</v>
      </c>
    </row>
    <row r="203" spans="1:14" s="148" customFormat="1" ht="37.5">
      <c r="A203" s="140"/>
      <c r="B203" s="158" t="s">
        <v>290</v>
      </c>
      <c r="C203" s="150" t="s">
        <v>372</v>
      </c>
      <c r="D203" s="139" t="s">
        <v>304</v>
      </c>
      <c r="E203" s="139" t="s">
        <v>119</v>
      </c>
      <c r="F203" s="557" t="s">
        <v>92</v>
      </c>
      <c r="G203" s="557" t="s">
        <v>150</v>
      </c>
      <c r="H203" s="557" t="s">
        <v>96</v>
      </c>
      <c r="I203" s="558" t="s">
        <v>97</v>
      </c>
      <c r="J203" s="139"/>
      <c r="K203" s="151">
        <f t="shared" si="63"/>
        <v>43264.6</v>
      </c>
      <c r="L203" s="151">
        <f t="shared" si="63"/>
        <v>0</v>
      </c>
      <c r="M203" s="151">
        <f t="shared" si="63"/>
        <v>43264.6</v>
      </c>
      <c r="N203" s="151">
        <f t="shared" si="63"/>
        <v>41646.799999999996</v>
      </c>
    </row>
    <row r="204" spans="1:14" s="148" customFormat="1" ht="37.5">
      <c r="A204" s="140"/>
      <c r="B204" s="158" t="s">
        <v>383</v>
      </c>
      <c r="C204" s="150" t="s">
        <v>372</v>
      </c>
      <c r="D204" s="139" t="s">
        <v>304</v>
      </c>
      <c r="E204" s="139" t="s">
        <v>119</v>
      </c>
      <c r="F204" s="557" t="s">
        <v>92</v>
      </c>
      <c r="G204" s="557" t="s">
        <v>150</v>
      </c>
      <c r="H204" s="557" t="s">
        <v>90</v>
      </c>
      <c r="I204" s="558" t="s">
        <v>97</v>
      </c>
      <c r="J204" s="139"/>
      <c r="K204" s="151">
        <f t="shared" ref="K204" si="64">K205+K212+K210</f>
        <v>43264.6</v>
      </c>
      <c r="L204" s="151">
        <f>L205+L212+L210</f>
        <v>0</v>
      </c>
      <c r="M204" s="151">
        <f t="shared" ref="M204:N204" si="65">M205+M212+M210</f>
        <v>43264.6</v>
      </c>
      <c r="N204" s="151">
        <f t="shared" si="65"/>
        <v>41646.799999999996</v>
      </c>
    </row>
    <row r="205" spans="1:14" s="148" customFormat="1" ht="70.150000000000006" customHeight="1">
      <c r="A205" s="140"/>
      <c r="B205" s="158" t="s">
        <v>151</v>
      </c>
      <c r="C205" s="150" t="s">
        <v>372</v>
      </c>
      <c r="D205" s="139" t="s">
        <v>304</v>
      </c>
      <c r="E205" s="139" t="s">
        <v>119</v>
      </c>
      <c r="F205" s="557" t="s">
        <v>92</v>
      </c>
      <c r="G205" s="557" t="s">
        <v>150</v>
      </c>
      <c r="H205" s="557" t="s">
        <v>90</v>
      </c>
      <c r="I205" s="558" t="s">
        <v>153</v>
      </c>
      <c r="J205" s="139"/>
      <c r="K205" s="151">
        <f>SUM(K206:K209)</f>
        <v>42982.2</v>
      </c>
      <c r="L205" s="151">
        <f>SUM(L206:L209)</f>
        <v>0</v>
      </c>
      <c r="M205" s="151">
        <f>SUM(M206:M209)</f>
        <v>42982.2</v>
      </c>
      <c r="N205" s="151">
        <f>SUM(N206:N209)</f>
        <v>41358.1</v>
      </c>
    </row>
    <row r="206" spans="1:14" s="148" customFormat="1" ht="70.150000000000006" customHeight="1">
      <c r="A206" s="140"/>
      <c r="B206" s="149" t="s">
        <v>102</v>
      </c>
      <c r="C206" s="150" t="s">
        <v>372</v>
      </c>
      <c r="D206" s="139" t="s">
        <v>304</v>
      </c>
      <c r="E206" s="139" t="s">
        <v>119</v>
      </c>
      <c r="F206" s="556" t="s">
        <v>92</v>
      </c>
      <c r="G206" s="557" t="s">
        <v>150</v>
      </c>
      <c r="H206" s="557" t="s">
        <v>90</v>
      </c>
      <c r="I206" s="558" t="s">
        <v>153</v>
      </c>
      <c r="J206" s="139" t="s">
        <v>103</v>
      </c>
      <c r="K206" s="151">
        <v>23223.3</v>
      </c>
      <c r="L206" s="151">
        <f t="shared" ref="L206:L209" si="66">M206-K206</f>
        <v>0</v>
      </c>
      <c r="M206" s="151">
        <v>23223.3</v>
      </c>
      <c r="N206" s="151">
        <v>23223.3</v>
      </c>
    </row>
    <row r="207" spans="1:14" s="148" customFormat="1" ht="40.9" customHeight="1">
      <c r="A207" s="140"/>
      <c r="B207" s="149" t="s">
        <v>108</v>
      </c>
      <c r="C207" s="150" t="s">
        <v>372</v>
      </c>
      <c r="D207" s="139" t="s">
        <v>304</v>
      </c>
      <c r="E207" s="139" t="s">
        <v>119</v>
      </c>
      <c r="F207" s="556" t="s">
        <v>92</v>
      </c>
      <c r="G207" s="557" t="s">
        <v>150</v>
      </c>
      <c r="H207" s="557" t="s">
        <v>90</v>
      </c>
      <c r="I207" s="558" t="s">
        <v>153</v>
      </c>
      <c r="J207" s="139" t="s">
        <v>109</v>
      </c>
      <c r="K207" s="151">
        <v>1876.6</v>
      </c>
      <c r="L207" s="151">
        <f t="shared" si="66"/>
        <v>0</v>
      </c>
      <c r="M207" s="151">
        <v>1876.6</v>
      </c>
      <c r="N207" s="151">
        <v>699.8</v>
      </c>
    </row>
    <row r="208" spans="1:14" s="148" customFormat="1" ht="56.25">
      <c r="A208" s="140"/>
      <c r="B208" s="158" t="s">
        <v>135</v>
      </c>
      <c r="C208" s="150" t="s">
        <v>372</v>
      </c>
      <c r="D208" s="139" t="s">
        <v>304</v>
      </c>
      <c r="E208" s="139" t="s">
        <v>119</v>
      </c>
      <c r="F208" s="557" t="s">
        <v>92</v>
      </c>
      <c r="G208" s="557" t="s">
        <v>150</v>
      </c>
      <c r="H208" s="557" t="s">
        <v>90</v>
      </c>
      <c r="I208" s="558" t="s">
        <v>153</v>
      </c>
      <c r="J208" s="139" t="s">
        <v>136</v>
      </c>
      <c r="K208" s="151">
        <v>17822.599999999999</v>
      </c>
      <c r="L208" s="151">
        <f t="shared" si="66"/>
        <v>0</v>
      </c>
      <c r="M208" s="151">
        <v>17822.599999999999</v>
      </c>
      <c r="N208" s="151">
        <v>17376.099999999999</v>
      </c>
    </row>
    <row r="209" spans="1:14" s="148" customFormat="1" ht="18.75">
      <c r="A209" s="140"/>
      <c r="B209" s="149" t="s">
        <v>110</v>
      </c>
      <c r="C209" s="150" t="s">
        <v>372</v>
      </c>
      <c r="D209" s="139" t="s">
        <v>304</v>
      </c>
      <c r="E209" s="139" t="s">
        <v>119</v>
      </c>
      <c r="F209" s="556" t="s">
        <v>92</v>
      </c>
      <c r="G209" s="557" t="s">
        <v>150</v>
      </c>
      <c r="H209" s="557" t="s">
        <v>90</v>
      </c>
      <c r="I209" s="558" t="s">
        <v>153</v>
      </c>
      <c r="J209" s="139" t="s">
        <v>111</v>
      </c>
      <c r="K209" s="151">
        <v>59.7</v>
      </c>
      <c r="L209" s="151">
        <f t="shared" si="66"/>
        <v>0</v>
      </c>
      <c r="M209" s="151">
        <v>59.7</v>
      </c>
      <c r="N209" s="151">
        <v>58.9</v>
      </c>
    </row>
    <row r="210" spans="1:14" s="148" customFormat="1" ht="18.75">
      <c r="A210" s="140"/>
      <c r="B210" s="149" t="s">
        <v>697</v>
      </c>
      <c r="C210" s="150" t="s">
        <v>372</v>
      </c>
      <c r="D210" s="139" t="s">
        <v>304</v>
      </c>
      <c r="E210" s="139" t="s">
        <v>119</v>
      </c>
      <c r="F210" s="556" t="s">
        <v>92</v>
      </c>
      <c r="G210" s="557" t="s">
        <v>150</v>
      </c>
      <c r="H210" s="557" t="s">
        <v>90</v>
      </c>
      <c r="I210" s="558" t="s">
        <v>696</v>
      </c>
      <c r="J210" s="139"/>
      <c r="K210" s="151">
        <f t="shared" ref="K210:N210" si="67">K211</f>
        <v>125</v>
      </c>
      <c r="L210" s="151">
        <f t="shared" si="67"/>
        <v>0</v>
      </c>
      <c r="M210" s="151">
        <f t="shared" si="67"/>
        <v>125</v>
      </c>
      <c r="N210" s="151">
        <f t="shared" si="67"/>
        <v>125</v>
      </c>
    </row>
    <row r="211" spans="1:14" s="148" customFormat="1" ht="91.15" customHeight="1">
      <c r="A211" s="140"/>
      <c r="B211" s="149" t="s">
        <v>102</v>
      </c>
      <c r="C211" s="150" t="s">
        <v>372</v>
      </c>
      <c r="D211" s="139" t="s">
        <v>304</v>
      </c>
      <c r="E211" s="139" t="s">
        <v>119</v>
      </c>
      <c r="F211" s="556" t="s">
        <v>92</v>
      </c>
      <c r="G211" s="557" t="s">
        <v>150</v>
      </c>
      <c r="H211" s="557" t="s">
        <v>90</v>
      </c>
      <c r="I211" s="558" t="s">
        <v>696</v>
      </c>
      <c r="J211" s="139" t="s">
        <v>103</v>
      </c>
      <c r="K211" s="151">
        <v>125</v>
      </c>
      <c r="L211" s="151">
        <f>M211-K211</f>
        <v>0</v>
      </c>
      <c r="M211" s="151">
        <v>125</v>
      </c>
      <c r="N211" s="151">
        <v>125</v>
      </c>
    </row>
    <row r="212" spans="1:14" s="148" customFormat="1" ht="177" customHeight="1">
      <c r="A212" s="140"/>
      <c r="B212" s="158" t="s">
        <v>374</v>
      </c>
      <c r="C212" s="150" t="s">
        <v>372</v>
      </c>
      <c r="D212" s="139" t="s">
        <v>304</v>
      </c>
      <c r="E212" s="139" t="s">
        <v>119</v>
      </c>
      <c r="F212" s="557" t="s">
        <v>92</v>
      </c>
      <c r="G212" s="557" t="s">
        <v>150</v>
      </c>
      <c r="H212" s="557" t="s">
        <v>90</v>
      </c>
      <c r="I212" s="558" t="s">
        <v>375</v>
      </c>
      <c r="J212" s="139"/>
      <c r="K212" s="151">
        <f>K213</f>
        <v>157.4</v>
      </c>
      <c r="L212" s="151">
        <f>L213</f>
        <v>0</v>
      </c>
      <c r="M212" s="151">
        <f>M213</f>
        <v>157.4</v>
      </c>
      <c r="N212" s="151">
        <f>N213</f>
        <v>163.69999999999999</v>
      </c>
    </row>
    <row r="213" spans="1:14" s="148" customFormat="1" ht="90" customHeight="1">
      <c r="A213" s="140"/>
      <c r="B213" s="149" t="s">
        <v>102</v>
      </c>
      <c r="C213" s="150" t="s">
        <v>372</v>
      </c>
      <c r="D213" s="139" t="s">
        <v>304</v>
      </c>
      <c r="E213" s="139" t="s">
        <v>119</v>
      </c>
      <c r="F213" s="557" t="s">
        <v>92</v>
      </c>
      <c r="G213" s="557" t="s">
        <v>150</v>
      </c>
      <c r="H213" s="557" t="s">
        <v>90</v>
      </c>
      <c r="I213" s="558" t="s">
        <v>375</v>
      </c>
      <c r="J213" s="139" t="s">
        <v>103</v>
      </c>
      <c r="K213" s="151">
        <f>193.3-35.9</f>
        <v>157.4</v>
      </c>
      <c r="L213" s="151">
        <f>M213-K213</f>
        <v>0</v>
      </c>
      <c r="M213" s="151">
        <f>193.3-35.9</f>
        <v>157.4</v>
      </c>
      <c r="N213" s="151">
        <f>203.2-39.5</f>
        <v>163.69999999999999</v>
      </c>
    </row>
    <row r="214" spans="1:14" s="148" customFormat="1" ht="18.75">
      <c r="A214" s="140"/>
      <c r="B214" s="149" t="s">
        <v>518</v>
      </c>
      <c r="C214" s="150" t="s">
        <v>372</v>
      </c>
      <c r="D214" s="139" t="s">
        <v>304</v>
      </c>
      <c r="E214" s="139" t="s">
        <v>304</v>
      </c>
      <c r="F214" s="556"/>
      <c r="G214" s="557"/>
      <c r="H214" s="557"/>
      <c r="I214" s="558"/>
      <c r="J214" s="139"/>
      <c r="K214" s="151">
        <f>K215</f>
        <v>3957.6</v>
      </c>
      <c r="L214" s="151">
        <f>L215</f>
        <v>0</v>
      </c>
      <c r="M214" s="151">
        <f>M215</f>
        <v>3957.6</v>
      </c>
      <c r="N214" s="151">
        <f>N215</f>
        <v>3947.7</v>
      </c>
    </row>
    <row r="215" spans="1:14" s="148" customFormat="1" ht="56.25">
      <c r="A215" s="140"/>
      <c r="B215" s="149" t="s">
        <v>284</v>
      </c>
      <c r="C215" s="150" t="s">
        <v>372</v>
      </c>
      <c r="D215" s="139" t="s">
        <v>304</v>
      </c>
      <c r="E215" s="139" t="s">
        <v>304</v>
      </c>
      <c r="F215" s="556" t="s">
        <v>92</v>
      </c>
      <c r="G215" s="557" t="s">
        <v>95</v>
      </c>
      <c r="H215" s="557" t="s">
        <v>96</v>
      </c>
      <c r="I215" s="558" t="s">
        <v>97</v>
      </c>
      <c r="J215" s="139"/>
      <c r="K215" s="151">
        <f t="shared" ref="K215:N216" si="68">K216</f>
        <v>3957.6</v>
      </c>
      <c r="L215" s="151">
        <f t="shared" si="68"/>
        <v>0</v>
      </c>
      <c r="M215" s="151">
        <f t="shared" si="68"/>
        <v>3957.6</v>
      </c>
      <c r="N215" s="151">
        <f t="shared" si="68"/>
        <v>3947.7</v>
      </c>
    </row>
    <row r="216" spans="1:14" s="148" customFormat="1" ht="56.25">
      <c r="A216" s="140"/>
      <c r="B216" s="149" t="s">
        <v>292</v>
      </c>
      <c r="C216" s="150" t="s">
        <v>372</v>
      </c>
      <c r="D216" s="139" t="s">
        <v>304</v>
      </c>
      <c r="E216" s="139" t="s">
        <v>304</v>
      </c>
      <c r="F216" s="556" t="s">
        <v>92</v>
      </c>
      <c r="G216" s="557" t="s">
        <v>83</v>
      </c>
      <c r="H216" s="557" t="s">
        <v>96</v>
      </c>
      <c r="I216" s="558" t="s">
        <v>97</v>
      </c>
      <c r="J216" s="139"/>
      <c r="K216" s="151">
        <f t="shared" si="68"/>
        <v>3957.6</v>
      </c>
      <c r="L216" s="151">
        <f t="shared" si="68"/>
        <v>0</v>
      </c>
      <c r="M216" s="151">
        <f t="shared" si="68"/>
        <v>3957.6</v>
      </c>
      <c r="N216" s="151">
        <f t="shared" si="68"/>
        <v>3947.7</v>
      </c>
    </row>
    <row r="217" spans="1:14" s="148" customFormat="1" ht="32.450000000000003" customHeight="1">
      <c r="A217" s="140"/>
      <c r="B217" s="149" t="s">
        <v>388</v>
      </c>
      <c r="C217" s="150" t="s">
        <v>372</v>
      </c>
      <c r="D217" s="139" t="s">
        <v>304</v>
      </c>
      <c r="E217" s="139" t="s">
        <v>304</v>
      </c>
      <c r="F217" s="556" t="s">
        <v>92</v>
      </c>
      <c r="G217" s="557" t="s">
        <v>83</v>
      </c>
      <c r="H217" s="557" t="s">
        <v>92</v>
      </c>
      <c r="I217" s="558" t="s">
        <v>97</v>
      </c>
      <c r="J217" s="139"/>
      <c r="K217" s="151">
        <f>K218+K220</f>
        <v>3957.6</v>
      </c>
      <c r="L217" s="151">
        <f>L218+L220</f>
        <v>0</v>
      </c>
      <c r="M217" s="151">
        <f>M218+M220</f>
        <v>3957.6</v>
      </c>
      <c r="N217" s="151">
        <f>N218+N220</f>
        <v>3947.7</v>
      </c>
    </row>
    <row r="218" spans="1:14" s="148" customFormat="1" ht="39" customHeight="1">
      <c r="A218" s="140"/>
      <c r="B218" s="149" t="s">
        <v>506</v>
      </c>
      <c r="C218" s="150" t="s">
        <v>372</v>
      </c>
      <c r="D218" s="139" t="s">
        <v>304</v>
      </c>
      <c r="E218" s="139" t="s">
        <v>304</v>
      </c>
      <c r="F218" s="556" t="s">
        <v>92</v>
      </c>
      <c r="G218" s="557" t="s">
        <v>83</v>
      </c>
      <c r="H218" s="557" t="s">
        <v>92</v>
      </c>
      <c r="I218" s="558" t="s">
        <v>505</v>
      </c>
      <c r="J218" s="139"/>
      <c r="K218" s="151">
        <f>K219</f>
        <v>0</v>
      </c>
      <c r="L218" s="151">
        <f t="shared" ref="L218" si="69">L219</f>
        <v>0</v>
      </c>
      <c r="M218" s="151">
        <f>M219</f>
        <v>0</v>
      </c>
      <c r="N218" s="151">
        <f>N219</f>
        <v>0</v>
      </c>
    </row>
    <row r="219" spans="1:14" s="148" customFormat="1" ht="56.25">
      <c r="A219" s="140"/>
      <c r="B219" s="149" t="s">
        <v>135</v>
      </c>
      <c r="C219" s="150" t="s">
        <v>372</v>
      </c>
      <c r="D219" s="139" t="s">
        <v>304</v>
      </c>
      <c r="E219" s="139" t="s">
        <v>304</v>
      </c>
      <c r="F219" s="556" t="s">
        <v>92</v>
      </c>
      <c r="G219" s="557" t="s">
        <v>83</v>
      </c>
      <c r="H219" s="557" t="s">
        <v>92</v>
      </c>
      <c r="I219" s="558" t="s">
        <v>505</v>
      </c>
      <c r="J219" s="139" t="s">
        <v>136</v>
      </c>
      <c r="K219" s="151">
        <f>3759.6-3759.6</f>
        <v>0</v>
      </c>
      <c r="L219" s="151">
        <f>M219-K219</f>
        <v>0</v>
      </c>
      <c r="M219" s="151">
        <f>3759.6-3759.6</f>
        <v>0</v>
      </c>
      <c r="N219" s="151">
        <f>3750.2-3750.2</f>
        <v>0</v>
      </c>
    </row>
    <row r="220" spans="1:14" s="148" customFormat="1" ht="56.25">
      <c r="A220" s="140"/>
      <c r="B220" s="149" t="s">
        <v>506</v>
      </c>
      <c r="C220" s="150" t="s">
        <v>372</v>
      </c>
      <c r="D220" s="139" t="s">
        <v>304</v>
      </c>
      <c r="E220" s="139" t="s">
        <v>304</v>
      </c>
      <c r="F220" s="557" t="s">
        <v>92</v>
      </c>
      <c r="G220" s="557" t="s">
        <v>83</v>
      </c>
      <c r="H220" s="557" t="s">
        <v>92</v>
      </c>
      <c r="I220" s="558" t="s">
        <v>640</v>
      </c>
      <c r="J220" s="139"/>
      <c r="K220" s="151">
        <f>K221</f>
        <v>3957.6</v>
      </c>
      <c r="L220" s="151">
        <f t="shared" ref="L220:L221" si="70">M220-K220</f>
        <v>0</v>
      </c>
      <c r="M220" s="151">
        <f>M221</f>
        <v>3957.6</v>
      </c>
      <c r="N220" s="151">
        <f>N221</f>
        <v>3947.7</v>
      </c>
    </row>
    <row r="221" spans="1:14" s="148" customFormat="1" ht="56.25">
      <c r="A221" s="140"/>
      <c r="B221" s="149" t="s">
        <v>135</v>
      </c>
      <c r="C221" s="150" t="s">
        <v>372</v>
      </c>
      <c r="D221" s="139" t="s">
        <v>304</v>
      </c>
      <c r="E221" s="139" t="s">
        <v>304</v>
      </c>
      <c r="F221" s="557" t="s">
        <v>92</v>
      </c>
      <c r="G221" s="557" t="s">
        <v>83</v>
      </c>
      <c r="H221" s="557" t="s">
        <v>92</v>
      </c>
      <c r="I221" s="558" t="s">
        <v>640</v>
      </c>
      <c r="J221" s="139" t="s">
        <v>136</v>
      </c>
      <c r="K221" s="151">
        <f>198+3759.6</f>
        <v>3957.6</v>
      </c>
      <c r="L221" s="151">
        <f t="shared" si="70"/>
        <v>0</v>
      </c>
      <c r="M221" s="151">
        <f>198+3759.6</f>
        <v>3957.6</v>
      </c>
      <c r="N221" s="151">
        <f>197.5+3750.2</f>
        <v>3947.7</v>
      </c>
    </row>
    <row r="222" spans="1:14" s="148" customFormat="1" ht="18.75">
      <c r="A222" s="140"/>
      <c r="B222" s="158" t="s">
        <v>261</v>
      </c>
      <c r="C222" s="150" t="s">
        <v>372</v>
      </c>
      <c r="D222" s="139" t="s">
        <v>304</v>
      </c>
      <c r="E222" s="139" t="s">
        <v>139</v>
      </c>
      <c r="F222" s="557"/>
      <c r="G222" s="557"/>
      <c r="H222" s="557"/>
      <c r="I222" s="558"/>
      <c r="J222" s="139"/>
      <c r="K222" s="151">
        <f t="shared" ref="K222:N224" si="71">K223</f>
        <v>39346.5</v>
      </c>
      <c r="L222" s="151">
        <f t="shared" si="71"/>
        <v>0</v>
      </c>
      <c r="M222" s="151">
        <f t="shared" si="71"/>
        <v>39346.5</v>
      </c>
      <c r="N222" s="151">
        <f t="shared" si="71"/>
        <v>38419.1</v>
      </c>
    </row>
    <row r="223" spans="1:14" s="148" customFormat="1" ht="56.25">
      <c r="A223" s="140"/>
      <c r="B223" s="158" t="s">
        <v>284</v>
      </c>
      <c r="C223" s="150" t="s">
        <v>372</v>
      </c>
      <c r="D223" s="139" t="s">
        <v>304</v>
      </c>
      <c r="E223" s="139" t="s">
        <v>139</v>
      </c>
      <c r="F223" s="557" t="s">
        <v>92</v>
      </c>
      <c r="G223" s="557" t="s">
        <v>95</v>
      </c>
      <c r="H223" s="557" t="s">
        <v>96</v>
      </c>
      <c r="I223" s="558" t="s">
        <v>97</v>
      </c>
      <c r="J223" s="139"/>
      <c r="K223" s="151">
        <f t="shared" si="71"/>
        <v>39346.5</v>
      </c>
      <c r="L223" s="151">
        <f t="shared" si="71"/>
        <v>0</v>
      </c>
      <c r="M223" s="151">
        <f t="shared" si="71"/>
        <v>39346.5</v>
      </c>
      <c r="N223" s="151">
        <f t="shared" si="71"/>
        <v>38419.1</v>
      </c>
    </row>
    <row r="224" spans="1:14" s="148" customFormat="1" ht="56.25">
      <c r="A224" s="140"/>
      <c r="B224" s="158" t="s">
        <v>292</v>
      </c>
      <c r="C224" s="150" t="s">
        <v>372</v>
      </c>
      <c r="D224" s="139" t="s">
        <v>304</v>
      </c>
      <c r="E224" s="139" t="s">
        <v>139</v>
      </c>
      <c r="F224" s="557" t="s">
        <v>92</v>
      </c>
      <c r="G224" s="557" t="s">
        <v>83</v>
      </c>
      <c r="H224" s="557" t="s">
        <v>96</v>
      </c>
      <c r="I224" s="558" t="s">
        <v>97</v>
      </c>
      <c r="J224" s="139"/>
      <c r="K224" s="151">
        <f t="shared" si="71"/>
        <v>39346.5</v>
      </c>
      <c r="L224" s="151">
        <f t="shared" si="71"/>
        <v>0</v>
      </c>
      <c r="M224" s="151">
        <f t="shared" si="71"/>
        <v>39346.5</v>
      </c>
      <c r="N224" s="151">
        <f t="shared" si="71"/>
        <v>38419.1</v>
      </c>
    </row>
    <row r="225" spans="1:14" s="148" customFormat="1" ht="37.5">
      <c r="A225" s="140"/>
      <c r="B225" s="158" t="s">
        <v>389</v>
      </c>
      <c r="C225" s="150" t="s">
        <v>372</v>
      </c>
      <c r="D225" s="139" t="s">
        <v>304</v>
      </c>
      <c r="E225" s="139" t="s">
        <v>139</v>
      </c>
      <c r="F225" s="557" t="s">
        <v>92</v>
      </c>
      <c r="G225" s="557" t="s">
        <v>83</v>
      </c>
      <c r="H225" s="557" t="s">
        <v>90</v>
      </c>
      <c r="I225" s="558" t="s">
        <v>97</v>
      </c>
      <c r="J225" s="139"/>
      <c r="K225" s="151">
        <f>K226+K230+K233</f>
        <v>39346.5</v>
      </c>
      <c r="L225" s="151">
        <f>L226+L230+L233</f>
        <v>0</v>
      </c>
      <c r="M225" s="151">
        <f>M226+M230+M233</f>
        <v>39346.5</v>
      </c>
      <c r="N225" s="151">
        <f>N226+N230+N233</f>
        <v>38419.1</v>
      </c>
    </row>
    <row r="226" spans="1:14" s="148" customFormat="1" ht="37.5">
      <c r="A226" s="140"/>
      <c r="B226" s="158" t="s">
        <v>100</v>
      </c>
      <c r="C226" s="150" t="s">
        <v>372</v>
      </c>
      <c r="D226" s="139" t="s">
        <v>304</v>
      </c>
      <c r="E226" s="139" t="s">
        <v>139</v>
      </c>
      <c r="F226" s="557" t="s">
        <v>92</v>
      </c>
      <c r="G226" s="557" t="s">
        <v>83</v>
      </c>
      <c r="H226" s="557" t="s">
        <v>90</v>
      </c>
      <c r="I226" s="558" t="s">
        <v>101</v>
      </c>
      <c r="J226" s="139"/>
      <c r="K226" s="151">
        <f>K227+K228+K229</f>
        <v>8014.5</v>
      </c>
      <c r="L226" s="151">
        <f>L227+L228+L229</f>
        <v>0</v>
      </c>
      <c r="M226" s="151">
        <f>M227+M228+M229</f>
        <v>8014.5</v>
      </c>
      <c r="N226" s="151">
        <f>N227+N228+N229</f>
        <v>7866.5</v>
      </c>
    </row>
    <row r="227" spans="1:14" s="148" customFormat="1" ht="87.6" customHeight="1">
      <c r="A227" s="140"/>
      <c r="B227" s="158" t="s">
        <v>102</v>
      </c>
      <c r="C227" s="150" t="s">
        <v>372</v>
      </c>
      <c r="D227" s="139" t="s">
        <v>304</v>
      </c>
      <c r="E227" s="139" t="s">
        <v>139</v>
      </c>
      <c r="F227" s="557" t="s">
        <v>92</v>
      </c>
      <c r="G227" s="557" t="s">
        <v>83</v>
      </c>
      <c r="H227" s="557" t="s">
        <v>90</v>
      </c>
      <c r="I227" s="558" t="s">
        <v>101</v>
      </c>
      <c r="J227" s="139" t="s">
        <v>103</v>
      </c>
      <c r="K227" s="151">
        <v>7866.5</v>
      </c>
      <c r="L227" s="151">
        <f t="shared" ref="L227:L229" si="72">M227-K227</f>
        <v>0</v>
      </c>
      <c r="M227" s="151">
        <v>7866.5</v>
      </c>
      <c r="N227" s="151">
        <v>7866.5</v>
      </c>
    </row>
    <row r="228" spans="1:14" s="148" customFormat="1" ht="31.9" customHeight="1">
      <c r="A228" s="140"/>
      <c r="B228" s="158" t="s">
        <v>108</v>
      </c>
      <c r="C228" s="150" t="s">
        <v>372</v>
      </c>
      <c r="D228" s="139" t="s">
        <v>304</v>
      </c>
      <c r="E228" s="139" t="s">
        <v>139</v>
      </c>
      <c r="F228" s="557" t="s">
        <v>92</v>
      </c>
      <c r="G228" s="557" t="s">
        <v>83</v>
      </c>
      <c r="H228" s="557" t="s">
        <v>90</v>
      </c>
      <c r="I228" s="558" t="s">
        <v>101</v>
      </c>
      <c r="J228" s="139" t="s">
        <v>109</v>
      </c>
      <c r="K228" s="151">
        <v>133.19999999999999</v>
      </c>
      <c r="L228" s="151">
        <f t="shared" si="72"/>
        <v>0</v>
      </c>
      <c r="M228" s="151">
        <v>133.19999999999999</v>
      </c>
      <c r="N228" s="151">
        <v>0</v>
      </c>
    </row>
    <row r="229" spans="1:14" s="148" customFormat="1" ht="18.75">
      <c r="A229" s="140"/>
      <c r="B229" s="158" t="s">
        <v>110</v>
      </c>
      <c r="C229" s="150" t="s">
        <v>372</v>
      </c>
      <c r="D229" s="139" t="s">
        <v>304</v>
      </c>
      <c r="E229" s="139" t="s">
        <v>139</v>
      </c>
      <c r="F229" s="557" t="s">
        <v>92</v>
      </c>
      <c r="G229" s="557" t="s">
        <v>83</v>
      </c>
      <c r="H229" s="557" t="s">
        <v>90</v>
      </c>
      <c r="I229" s="558" t="s">
        <v>101</v>
      </c>
      <c r="J229" s="139" t="s">
        <v>111</v>
      </c>
      <c r="K229" s="151">
        <v>14.8</v>
      </c>
      <c r="L229" s="151">
        <f t="shared" si="72"/>
        <v>0</v>
      </c>
      <c r="M229" s="151">
        <v>14.8</v>
      </c>
      <c r="N229" s="151">
        <v>0</v>
      </c>
    </row>
    <row r="230" spans="1:14" s="148" customFormat="1" ht="69.599999999999994" customHeight="1">
      <c r="A230" s="140"/>
      <c r="B230" s="158" t="s">
        <v>151</v>
      </c>
      <c r="C230" s="150" t="s">
        <v>372</v>
      </c>
      <c r="D230" s="139" t="s">
        <v>304</v>
      </c>
      <c r="E230" s="139" t="s">
        <v>139</v>
      </c>
      <c r="F230" s="557" t="s">
        <v>92</v>
      </c>
      <c r="G230" s="557" t="s">
        <v>83</v>
      </c>
      <c r="H230" s="557" t="s">
        <v>90</v>
      </c>
      <c r="I230" s="558" t="s">
        <v>153</v>
      </c>
      <c r="J230" s="139"/>
      <c r="K230" s="151">
        <f t="shared" ref="K230" si="73">SUM(K231:K232)</f>
        <v>25568.799999999999</v>
      </c>
      <c r="L230" s="151">
        <f>SUM(L231:L232)</f>
        <v>0</v>
      </c>
      <c r="M230" s="151">
        <f t="shared" ref="M230:N230" si="74">SUM(M231:M232)</f>
        <v>25568.799999999999</v>
      </c>
      <c r="N230" s="151">
        <f t="shared" si="74"/>
        <v>24789.399999999998</v>
      </c>
    </row>
    <row r="231" spans="1:14" s="148" customFormat="1" ht="89.45" customHeight="1">
      <c r="A231" s="140"/>
      <c r="B231" s="158" t="s">
        <v>102</v>
      </c>
      <c r="C231" s="150" t="s">
        <v>372</v>
      </c>
      <c r="D231" s="139" t="s">
        <v>304</v>
      </c>
      <c r="E231" s="139" t="s">
        <v>139</v>
      </c>
      <c r="F231" s="557" t="s">
        <v>92</v>
      </c>
      <c r="G231" s="557" t="s">
        <v>83</v>
      </c>
      <c r="H231" s="557" t="s">
        <v>90</v>
      </c>
      <c r="I231" s="558" t="s">
        <v>153</v>
      </c>
      <c r="J231" s="139" t="s">
        <v>103</v>
      </c>
      <c r="K231" s="151">
        <v>24757.3</v>
      </c>
      <c r="L231" s="151">
        <f t="shared" ref="L231:L232" si="75">M231-K231</f>
        <v>0</v>
      </c>
      <c r="M231" s="151">
        <v>24757.3</v>
      </c>
      <c r="N231" s="151">
        <v>24757.3</v>
      </c>
    </row>
    <row r="232" spans="1:14" s="148" customFormat="1" ht="33.6" customHeight="1">
      <c r="A232" s="140"/>
      <c r="B232" s="158" t="s">
        <v>108</v>
      </c>
      <c r="C232" s="150" t="s">
        <v>372</v>
      </c>
      <c r="D232" s="139" t="s">
        <v>304</v>
      </c>
      <c r="E232" s="139" t="s">
        <v>139</v>
      </c>
      <c r="F232" s="557" t="s">
        <v>92</v>
      </c>
      <c r="G232" s="557" t="s">
        <v>83</v>
      </c>
      <c r="H232" s="557" t="s">
        <v>90</v>
      </c>
      <c r="I232" s="558" t="s">
        <v>153</v>
      </c>
      <c r="J232" s="139" t="s">
        <v>109</v>
      </c>
      <c r="K232" s="151">
        <v>811.5</v>
      </c>
      <c r="L232" s="151">
        <f t="shared" si="75"/>
        <v>0</v>
      </c>
      <c r="M232" s="151">
        <v>811.5</v>
      </c>
      <c r="N232" s="151">
        <v>32.1</v>
      </c>
    </row>
    <row r="233" spans="1:14" s="148" customFormat="1" ht="131.25">
      <c r="A233" s="140"/>
      <c r="B233" s="149" t="s">
        <v>503</v>
      </c>
      <c r="C233" s="150" t="s">
        <v>372</v>
      </c>
      <c r="D233" s="139" t="s">
        <v>304</v>
      </c>
      <c r="E233" s="139" t="s">
        <v>139</v>
      </c>
      <c r="F233" s="556" t="s">
        <v>92</v>
      </c>
      <c r="G233" s="557" t="s">
        <v>83</v>
      </c>
      <c r="H233" s="557" t="s">
        <v>90</v>
      </c>
      <c r="I233" s="558" t="s">
        <v>376</v>
      </c>
      <c r="J233" s="139"/>
      <c r="K233" s="151">
        <f t="shared" ref="K233" si="76">SUM(K234:K235)</f>
        <v>5763.2</v>
      </c>
      <c r="L233" s="151">
        <f>SUM(L234:L235)</f>
        <v>0</v>
      </c>
      <c r="M233" s="151">
        <f t="shared" ref="M233:N233" si="77">SUM(M234:M235)</f>
        <v>5763.2</v>
      </c>
      <c r="N233" s="151">
        <f t="shared" si="77"/>
        <v>5763.2</v>
      </c>
    </row>
    <row r="234" spans="1:14" s="148" customFormat="1" ht="88.15" customHeight="1">
      <c r="A234" s="140"/>
      <c r="B234" s="149" t="s">
        <v>102</v>
      </c>
      <c r="C234" s="150" t="s">
        <v>372</v>
      </c>
      <c r="D234" s="139" t="s">
        <v>304</v>
      </c>
      <c r="E234" s="139" t="s">
        <v>139</v>
      </c>
      <c r="F234" s="556" t="s">
        <v>92</v>
      </c>
      <c r="G234" s="557" t="s">
        <v>83</v>
      </c>
      <c r="H234" s="557" t="s">
        <v>90</v>
      </c>
      <c r="I234" s="558" t="s">
        <v>376</v>
      </c>
      <c r="J234" s="139" t="s">
        <v>103</v>
      </c>
      <c r="K234" s="151">
        <v>5594.5</v>
      </c>
      <c r="L234" s="151">
        <f t="shared" ref="L234:L235" si="78">M234-K234</f>
        <v>0</v>
      </c>
      <c r="M234" s="151">
        <v>5594.5</v>
      </c>
      <c r="N234" s="151">
        <v>5594.5</v>
      </c>
    </row>
    <row r="235" spans="1:14" s="148" customFormat="1" ht="36" customHeight="1">
      <c r="A235" s="140"/>
      <c r="B235" s="149" t="s">
        <v>108</v>
      </c>
      <c r="C235" s="150" t="s">
        <v>372</v>
      </c>
      <c r="D235" s="139" t="s">
        <v>304</v>
      </c>
      <c r="E235" s="139" t="s">
        <v>139</v>
      </c>
      <c r="F235" s="556" t="s">
        <v>92</v>
      </c>
      <c r="G235" s="557" t="s">
        <v>83</v>
      </c>
      <c r="H235" s="557" t="s">
        <v>90</v>
      </c>
      <c r="I235" s="558" t="s">
        <v>376</v>
      </c>
      <c r="J235" s="139" t="s">
        <v>109</v>
      </c>
      <c r="K235" s="151">
        <f>61.1+107.6</f>
        <v>168.7</v>
      </c>
      <c r="L235" s="151">
        <f t="shared" si="78"/>
        <v>0</v>
      </c>
      <c r="M235" s="151">
        <f>61.1+107.6</f>
        <v>168.7</v>
      </c>
      <c r="N235" s="151">
        <f>61.1+107.6</f>
        <v>168.7</v>
      </c>
    </row>
    <row r="236" spans="1:14" s="148" customFormat="1" ht="18.75">
      <c r="A236" s="140"/>
      <c r="B236" s="684" t="s">
        <v>182</v>
      </c>
      <c r="C236" s="150" t="s">
        <v>372</v>
      </c>
      <c r="D236" s="139" t="s">
        <v>167</v>
      </c>
      <c r="E236" s="139"/>
      <c r="F236" s="557"/>
      <c r="G236" s="557"/>
      <c r="H236" s="557"/>
      <c r="I236" s="558"/>
      <c r="J236" s="139"/>
      <c r="K236" s="151">
        <f t="shared" ref="K236:N237" si="79">K237</f>
        <v>9069.2000000000007</v>
      </c>
      <c r="L236" s="151">
        <f t="shared" si="79"/>
        <v>0</v>
      </c>
      <c r="M236" s="151">
        <f t="shared" si="79"/>
        <v>9069.2000000000007</v>
      </c>
      <c r="N236" s="151">
        <f t="shared" si="79"/>
        <v>9069.2000000000007</v>
      </c>
    </row>
    <row r="237" spans="1:14" s="148" customFormat="1" ht="18.75">
      <c r="A237" s="140"/>
      <c r="B237" s="684" t="s">
        <v>272</v>
      </c>
      <c r="C237" s="150" t="s">
        <v>372</v>
      </c>
      <c r="D237" s="139" t="s">
        <v>167</v>
      </c>
      <c r="E237" s="139" t="s">
        <v>105</v>
      </c>
      <c r="F237" s="557"/>
      <c r="G237" s="557"/>
      <c r="H237" s="557"/>
      <c r="I237" s="558"/>
      <c r="J237" s="139"/>
      <c r="K237" s="151">
        <f t="shared" si="79"/>
        <v>9069.2000000000007</v>
      </c>
      <c r="L237" s="151">
        <f t="shared" si="79"/>
        <v>0</v>
      </c>
      <c r="M237" s="151">
        <f t="shared" si="79"/>
        <v>9069.2000000000007</v>
      </c>
      <c r="N237" s="151">
        <f t="shared" si="79"/>
        <v>9069.2000000000007</v>
      </c>
    </row>
    <row r="238" spans="1:14" s="148" customFormat="1" ht="56.25">
      <c r="A238" s="140"/>
      <c r="B238" s="158" t="s">
        <v>284</v>
      </c>
      <c r="C238" s="150" t="s">
        <v>372</v>
      </c>
      <c r="D238" s="139" t="s">
        <v>167</v>
      </c>
      <c r="E238" s="139" t="s">
        <v>105</v>
      </c>
      <c r="F238" s="557" t="s">
        <v>92</v>
      </c>
      <c r="G238" s="557" t="s">
        <v>95</v>
      </c>
      <c r="H238" s="557" t="s">
        <v>96</v>
      </c>
      <c r="I238" s="558" t="s">
        <v>97</v>
      </c>
      <c r="J238" s="139"/>
      <c r="K238" s="151">
        <f t="shared" ref="K238:N240" si="80">K239</f>
        <v>9069.2000000000007</v>
      </c>
      <c r="L238" s="151">
        <f t="shared" si="80"/>
        <v>0</v>
      </c>
      <c r="M238" s="151">
        <f t="shared" si="80"/>
        <v>9069.2000000000007</v>
      </c>
      <c r="N238" s="151">
        <f t="shared" si="80"/>
        <v>9069.2000000000007</v>
      </c>
    </row>
    <row r="239" spans="1:14" s="148" customFormat="1" ht="37.5">
      <c r="A239" s="140"/>
      <c r="B239" s="158" t="s">
        <v>285</v>
      </c>
      <c r="C239" s="150" t="s">
        <v>372</v>
      </c>
      <c r="D239" s="139" t="s">
        <v>167</v>
      </c>
      <c r="E239" s="139" t="s">
        <v>105</v>
      </c>
      <c r="F239" s="557" t="s">
        <v>92</v>
      </c>
      <c r="G239" s="557" t="s">
        <v>98</v>
      </c>
      <c r="H239" s="557" t="s">
        <v>96</v>
      </c>
      <c r="I239" s="558" t="s">
        <v>97</v>
      </c>
      <c r="J239" s="139"/>
      <c r="K239" s="151">
        <f t="shared" si="80"/>
        <v>9069.2000000000007</v>
      </c>
      <c r="L239" s="151">
        <f t="shared" si="80"/>
        <v>0</v>
      </c>
      <c r="M239" s="151">
        <f t="shared" si="80"/>
        <v>9069.2000000000007</v>
      </c>
      <c r="N239" s="151">
        <f t="shared" si="80"/>
        <v>9069.2000000000007</v>
      </c>
    </row>
    <row r="240" spans="1:14" s="148" customFormat="1" ht="15.6" customHeight="1">
      <c r="A240" s="140"/>
      <c r="B240" s="158" t="s">
        <v>373</v>
      </c>
      <c r="C240" s="150" t="s">
        <v>372</v>
      </c>
      <c r="D240" s="139" t="s">
        <v>167</v>
      </c>
      <c r="E240" s="139" t="s">
        <v>105</v>
      </c>
      <c r="F240" s="557" t="s">
        <v>92</v>
      </c>
      <c r="G240" s="557" t="s">
        <v>98</v>
      </c>
      <c r="H240" s="557" t="s">
        <v>90</v>
      </c>
      <c r="I240" s="558" t="s">
        <v>97</v>
      </c>
      <c r="J240" s="139"/>
      <c r="K240" s="151">
        <f t="shared" si="80"/>
        <v>9069.2000000000007</v>
      </c>
      <c r="L240" s="151">
        <f t="shared" si="80"/>
        <v>0</v>
      </c>
      <c r="M240" s="151">
        <f t="shared" si="80"/>
        <v>9069.2000000000007</v>
      </c>
      <c r="N240" s="151">
        <f t="shared" si="80"/>
        <v>9069.2000000000007</v>
      </c>
    </row>
    <row r="241" spans="1:16" s="148" customFormat="1" ht="124.15" customHeight="1">
      <c r="A241" s="140"/>
      <c r="B241" s="158" t="s">
        <v>390</v>
      </c>
      <c r="C241" s="150" t="s">
        <v>372</v>
      </c>
      <c r="D241" s="139" t="s">
        <v>167</v>
      </c>
      <c r="E241" s="139" t="s">
        <v>105</v>
      </c>
      <c r="F241" s="557" t="s">
        <v>92</v>
      </c>
      <c r="G241" s="557" t="s">
        <v>98</v>
      </c>
      <c r="H241" s="557" t="s">
        <v>90</v>
      </c>
      <c r="I241" s="558" t="s">
        <v>391</v>
      </c>
      <c r="J241" s="139"/>
      <c r="K241" s="151">
        <f>K242+K243</f>
        <v>9069.2000000000007</v>
      </c>
      <c r="L241" s="151">
        <f>L242+L243</f>
        <v>0</v>
      </c>
      <c r="M241" s="151">
        <f>M242+M243</f>
        <v>9069.2000000000007</v>
      </c>
      <c r="N241" s="151">
        <f>N242+N243</f>
        <v>9069.2000000000007</v>
      </c>
    </row>
    <row r="242" spans="1:16" s="148" customFormat="1" ht="32.450000000000003" customHeight="1">
      <c r="A242" s="140"/>
      <c r="B242" s="158" t="s">
        <v>108</v>
      </c>
      <c r="C242" s="150" t="s">
        <v>372</v>
      </c>
      <c r="D242" s="139" t="s">
        <v>167</v>
      </c>
      <c r="E242" s="139" t="s">
        <v>105</v>
      </c>
      <c r="F242" s="557" t="s">
        <v>92</v>
      </c>
      <c r="G242" s="557" t="s">
        <v>98</v>
      </c>
      <c r="H242" s="557" t="s">
        <v>90</v>
      </c>
      <c r="I242" s="558" t="s">
        <v>391</v>
      </c>
      <c r="J242" s="139" t="s">
        <v>109</v>
      </c>
      <c r="K242" s="151">
        <v>134</v>
      </c>
      <c r="L242" s="151">
        <f t="shared" ref="L242:L243" si="81">M242-K242</f>
        <v>0</v>
      </c>
      <c r="M242" s="151">
        <v>134</v>
      </c>
      <c r="N242" s="151">
        <v>134</v>
      </c>
    </row>
    <row r="243" spans="1:16" s="148" customFormat="1" ht="34.15" customHeight="1">
      <c r="A243" s="140"/>
      <c r="B243" s="199" t="s">
        <v>183</v>
      </c>
      <c r="C243" s="150" t="s">
        <v>372</v>
      </c>
      <c r="D243" s="139" t="s">
        <v>167</v>
      </c>
      <c r="E243" s="139" t="s">
        <v>105</v>
      </c>
      <c r="F243" s="557" t="s">
        <v>92</v>
      </c>
      <c r="G243" s="557" t="s">
        <v>98</v>
      </c>
      <c r="H243" s="557" t="s">
        <v>90</v>
      </c>
      <c r="I243" s="558" t="s">
        <v>391</v>
      </c>
      <c r="J243" s="139" t="s">
        <v>184</v>
      </c>
      <c r="K243" s="151">
        <v>8935.2000000000007</v>
      </c>
      <c r="L243" s="151">
        <f t="shared" si="81"/>
        <v>0</v>
      </c>
      <c r="M243" s="151">
        <v>8935.2000000000007</v>
      </c>
      <c r="N243" s="151">
        <v>8935.2000000000007</v>
      </c>
    </row>
    <row r="244" spans="1:16" ht="18.75">
      <c r="A244" s="140"/>
      <c r="B244" s="158"/>
      <c r="C244" s="188"/>
      <c r="D244" s="189"/>
      <c r="E244" s="189"/>
      <c r="F244" s="182"/>
      <c r="G244" s="182"/>
      <c r="H244" s="182"/>
      <c r="I244" s="190"/>
      <c r="J244" s="189"/>
      <c r="K244" s="151"/>
      <c r="L244" s="151"/>
      <c r="M244" s="151"/>
      <c r="N244" s="151"/>
    </row>
    <row r="245" spans="1:16" s="148" customFormat="1" ht="56.25">
      <c r="A245" s="141">
        <v>6</v>
      </c>
      <c r="B245" s="696" t="s">
        <v>57</v>
      </c>
      <c r="C245" s="143" t="s">
        <v>453</v>
      </c>
      <c r="D245" s="144"/>
      <c r="E245" s="144"/>
      <c r="F245" s="146"/>
      <c r="G245" s="146"/>
      <c r="H245" s="146"/>
      <c r="I245" s="147"/>
      <c r="J245" s="144"/>
      <c r="K245" s="228">
        <f>K246+K253</f>
        <v>77122.7</v>
      </c>
      <c r="L245" s="228">
        <f>L246+L253</f>
        <v>4.7</v>
      </c>
      <c r="M245" s="228">
        <f>M246+M253</f>
        <v>77127.399999999994</v>
      </c>
      <c r="N245" s="228">
        <f>N246+N253</f>
        <v>77097.5</v>
      </c>
    </row>
    <row r="246" spans="1:16" s="152" customFormat="1" ht="18.75">
      <c r="A246" s="140"/>
      <c r="B246" s="685" t="s">
        <v>254</v>
      </c>
      <c r="C246" s="150" t="s">
        <v>453</v>
      </c>
      <c r="D246" s="139" t="s">
        <v>304</v>
      </c>
      <c r="E246" s="139"/>
      <c r="F246" s="557"/>
      <c r="G246" s="557"/>
      <c r="H246" s="557"/>
      <c r="I246" s="558"/>
      <c r="J246" s="139"/>
      <c r="K246" s="151">
        <f t="shared" ref="K246:N248" si="82">K247</f>
        <v>48567.5</v>
      </c>
      <c r="L246" s="151">
        <f t="shared" si="82"/>
        <v>0</v>
      </c>
      <c r="M246" s="151">
        <f t="shared" si="82"/>
        <v>48567.5</v>
      </c>
      <c r="N246" s="151">
        <f t="shared" si="82"/>
        <v>48567.5</v>
      </c>
    </row>
    <row r="247" spans="1:16" s="153" customFormat="1" ht="18.75">
      <c r="A247" s="140"/>
      <c r="B247" s="685" t="s">
        <v>517</v>
      </c>
      <c r="C247" s="150" t="s">
        <v>453</v>
      </c>
      <c r="D247" s="139" t="s">
        <v>304</v>
      </c>
      <c r="E247" s="139" t="s">
        <v>119</v>
      </c>
      <c r="F247" s="557"/>
      <c r="G247" s="557"/>
      <c r="H247" s="557"/>
      <c r="I247" s="558"/>
      <c r="J247" s="139"/>
      <c r="K247" s="151">
        <f t="shared" si="82"/>
        <v>48567.5</v>
      </c>
      <c r="L247" s="151">
        <f t="shared" si="82"/>
        <v>0</v>
      </c>
      <c r="M247" s="151">
        <f t="shared" si="82"/>
        <v>48567.5</v>
      </c>
      <c r="N247" s="151">
        <f t="shared" si="82"/>
        <v>48567.5</v>
      </c>
    </row>
    <row r="248" spans="1:16" s="153" customFormat="1" ht="56.25">
      <c r="A248" s="140"/>
      <c r="B248" s="685" t="s">
        <v>293</v>
      </c>
      <c r="C248" s="150" t="s">
        <v>453</v>
      </c>
      <c r="D248" s="139" t="s">
        <v>304</v>
      </c>
      <c r="E248" s="139" t="s">
        <v>119</v>
      </c>
      <c r="F248" s="557" t="s">
        <v>119</v>
      </c>
      <c r="G248" s="557" t="s">
        <v>95</v>
      </c>
      <c r="H248" s="557" t="s">
        <v>96</v>
      </c>
      <c r="I248" s="558" t="s">
        <v>97</v>
      </c>
      <c r="J248" s="139"/>
      <c r="K248" s="151">
        <f t="shared" si="82"/>
        <v>48567.5</v>
      </c>
      <c r="L248" s="151">
        <f t="shared" si="82"/>
        <v>0</v>
      </c>
      <c r="M248" s="151">
        <f t="shared" si="82"/>
        <v>48567.5</v>
      </c>
      <c r="N248" s="151">
        <f t="shared" si="82"/>
        <v>48567.5</v>
      </c>
    </row>
    <row r="249" spans="1:16" s="153" customFormat="1" ht="75">
      <c r="A249" s="140"/>
      <c r="B249" s="685" t="s">
        <v>294</v>
      </c>
      <c r="C249" s="150" t="s">
        <v>453</v>
      </c>
      <c r="D249" s="139" t="s">
        <v>304</v>
      </c>
      <c r="E249" s="139" t="s">
        <v>119</v>
      </c>
      <c r="F249" s="557" t="s">
        <v>119</v>
      </c>
      <c r="G249" s="557" t="s">
        <v>98</v>
      </c>
      <c r="H249" s="557" t="s">
        <v>96</v>
      </c>
      <c r="I249" s="558" t="s">
        <v>97</v>
      </c>
      <c r="J249" s="139"/>
      <c r="K249" s="151">
        <f t="shared" ref="K249:N251" si="83">K250</f>
        <v>48567.5</v>
      </c>
      <c r="L249" s="151">
        <f t="shared" si="83"/>
        <v>0</v>
      </c>
      <c r="M249" s="151">
        <f t="shared" si="83"/>
        <v>48567.5</v>
      </c>
      <c r="N249" s="151">
        <f t="shared" si="83"/>
        <v>48567.5</v>
      </c>
    </row>
    <row r="250" spans="1:16" s="153" customFormat="1" ht="37.5">
      <c r="A250" s="140"/>
      <c r="B250" s="685" t="s">
        <v>383</v>
      </c>
      <c r="C250" s="150" t="s">
        <v>453</v>
      </c>
      <c r="D250" s="139" t="s">
        <v>304</v>
      </c>
      <c r="E250" s="139" t="s">
        <v>119</v>
      </c>
      <c r="F250" s="557" t="s">
        <v>119</v>
      </c>
      <c r="G250" s="557" t="s">
        <v>98</v>
      </c>
      <c r="H250" s="557" t="s">
        <v>90</v>
      </c>
      <c r="I250" s="558" t="s">
        <v>97</v>
      </c>
      <c r="J250" s="139"/>
      <c r="K250" s="151">
        <f t="shared" si="83"/>
        <v>48567.5</v>
      </c>
      <c r="L250" s="151">
        <f t="shared" si="83"/>
        <v>0</v>
      </c>
      <c r="M250" s="151">
        <f t="shared" si="83"/>
        <v>48567.5</v>
      </c>
      <c r="N250" s="151">
        <f t="shared" si="83"/>
        <v>48567.5</v>
      </c>
    </row>
    <row r="251" spans="1:16" s="153" customFormat="1" ht="67.900000000000006" customHeight="1">
      <c r="A251" s="140"/>
      <c r="B251" s="683" t="s">
        <v>454</v>
      </c>
      <c r="C251" s="150" t="s">
        <v>453</v>
      </c>
      <c r="D251" s="139" t="s">
        <v>304</v>
      </c>
      <c r="E251" s="139" t="s">
        <v>119</v>
      </c>
      <c r="F251" s="557" t="s">
        <v>119</v>
      </c>
      <c r="G251" s="557" t="s">
        <v>98</v>
      </c>
      <c r="H251" s="557" t="s">
        <v>90</v>
      </c>
      <c r="I251" s="558" t="s">
        <v>153</v>
      </c>
      <c r="J251" s="139"/>
      <c r="K251" s="151">
        <f t="shared" si="83"/>
        <v>48567.5</v>
      </c>
      <c r="L251" s="151">
        <f t="shared" si="83"/>
        <v>0</v>
      </c>
      <c r="M251" s="151">
        <f t="shared" si="83"/>
        <v>48567.5</v>
      </c>
      <c r="N251" s="151">
        <f t="shared" si="83"/>
        <v>48567.5</v>
      </c>
    </row>
    <row r="252" spans="1:16" s="152" customFormat="1" ht="56.25">
      <c r="A252" s="140"/>
      <c r="B252" s="199" t="s">
        <v>135</v>
      </c>
      <c r="C252" s="150" t="s">
        <v>453</v>
      </c>
      <c r="D252" s="139" t="s">
        <v>304</v>
      </c>
      <c r="E252" s="139" t="s">
        <v>119</v>
      </c>
      <c r="F252" s="557" t="s">
        <v>119</v>
      </c>
      <c r="G252" s="557" t="s">
        <v>98</v>
      </c>
      <c r="H252" s="557" t="s">
        <v>90</v>
      </c>
      <c r="I252" s="558" t="s">
        <v>153</v>
      </c>
      <c r="J252" s="139" t="s">
        <v>136</v>
      </c>
      <c r="K252" s="151">
        <v>48567.5</v>
      </c>
      <c r="L252" s="151">
        <f>M252-K252</f>
        <v>0</v>
      </c>
      <c r="M252" s="151">
        <v>48567.5</v>
      </c>
      <c r="N252" s="151">
        <v>48567.5</v>
      </c>
    </row>
    <row r="253" spans="1:16" s="152" customFormat="1" ht="18.75">
      <c r="A253" s="140"/>
      <c r="B253" s="158" t="s">
        <v>263</v>
      </c>
      <c r="C253" s="150" t="s">
        <v>453</v>
      </c>
      <c r="D253" s="139" t="s">
        <v>306</v>
      </c>
      <c r="E253" s="139"/>
      <c r="F253" s="557"/>
      <c r="G253" s="557"/>
      <c r="H253" s="557"/>
      <c r="I253" s="558"/>
      <c r="J253" s="139"/>
      <c r="K253" s="151">
        <f>K254+K269</f>
        <v>28555.200000000001</v>
      </c>
      <c r="L253" s="151">
        <f>L254+L269</f>
        <v>4.7</v>
      </c>
      <c r="M253" s="151">
        <f>M254+M269</f>
        <v>28559.899999999998</v>
      </c>
      <c r="N253" s="151">
        <f>N254+N269</f>
        <v>28530</v>
      </c>
      <c r="P253" s="192"/>
    </row>
    <row r="254" spans="1:16" s="152" customFormat="1" ht="18.75">
      <c r="A254" s="140"/>
      <c r="B254" s="158" t="s">
        <v>265</v>
      </c>
      <c r="C254" s="150" t="s">
        <v>453</v>
      </c>
      <c r="D254" s="139" t="s">
        <v>306</v>
      </c>
      <c r="E254" s="139" t="s">
        <v>90</v>
      </c>
      <c r="F254" s="557"/>
      <c r="G254" s="557"/>
      <c r="H254" s="557"/>
      <c r="I254" s="558"/>
      <c r="J254" s="139"/>
      <c r="K254" s="151">
        <f t="shared" ref="K254:N254" si="84">K255</f>
        <v>20598</v>
      </c>
      <c r="L254" s="151">
        <f t="shared" si="84"/>
        <v>4.7</v>
      </c>
      <c r="M254" s="151">
        <f t="shared" si="84"/>
        <v>20602.699999999997</v>
      </c>
      <c r="N254" s="151">
        <f t="shared" si="84"/>
        <v>20598</v>
      </c>
    </row>
    <row r="255" spans="1:16" s="152" customFormat="1" ht="56.25">
      <c r="A255" s="140"/>
      <c r="B255" s="685" t="s">
        <v>293</v>
      </c>
      <c r="C255" s="150" t="s">
        <v>453</v>
      </c>
      <c r="D255" s="139" t="s">
        <v>306</v>
      </c>
      <c r="E255" s="139" t="s">
        <v>90</v>
      </c>
      <c r="F255" s="557" t="s">
        <v>119</v>
      </c>
      <c r="G255" s="557" t="s">
        <v>95</v>
      </c>
      <c r="H255" s="557" t="s">
        <v>96</v>
      </c>
      <c r="I255" s="558" t="s">
        <v>97</v>
      </c>
      <c r="J255" s="139"/>
      <c r="K255" s="151">
        <f>K256+K265</f>
        <v>20598</v>
      </c>
      <c r="L255" s="151">
        <f>L256+L265</f>
        <v>4.7</v>
      </c>
      <c r="M255" s="151">
        <f>M256+M265</f>
        <v>20602.699999999997</v>
      </c>
      <c r="N255" s="151">
        <f>N256+N265</f>
        <v>20598</v>
      </c>
      <c r="P255" s="192"/>
    </row>
    <row r="256" spans="1:16" s="136" customFormat="1" ht="75">
      <c r="A256" s="140"/>
      <c r="B256" s="685" t="s">
        <v>294</v>
      </c>
      <c r="C256" s="150" t="s">
        <v>453</v>
      </c>
      <c r="D256" s="139" t="s">
        <v>306</v>
      </c>
      <c r="E256" s="139" t="s">
        <v>90</v>
      </c>
      <c r="F256" s="182" t="s">
        <v>119</v>
      </c>
      <c r="G256" s="182" t="s">
        <v>98</v>
      </c>
      <c r="H256" s="182" t="s">
        <v>96</v>
      </c>
      <c r="I256" s="190" t="s">
        <v>97</v>
      </c>
      <c r="J256" s="189"/>
      <c r="K256" s="151">
        <f>K257+K262</f>
        <v>20598</v>
      </c>
      <c r="L256" s="151">
        <f>L257+L262</f>
        <v>2.6</v>
      </c>
      <c r="M256" s="151">
        <f>M257+M262</f>
        <v>20600.599999999999</v>
      </c>
      <c r="N256" s="151">
        <f>N257+N262</f>
        <v>20598</v>
      </c>
    </row>
    <row r="257" spans="1:16" s="136" customFormat="1" ht="18.75">
      <c r="A257" s="140"/>
      <c r="B257" s="158" t="s">
        <v>457</v>
      </c>
      <c r="C257" s="150" t="s">
        <v>453</v>
      </c>
      <c r="D257" s="139" t="s">
        <v>306</v>
      </c>
      <c r="E257" s="139" t="s">
        <v>90</v>
      </c>
      <c r="F257" s="182" t="s">
        <v>119</v>
      </c>
      <c r="G257" s="182" t="s">
        <v>98</v>
      </c>
      <c r="H257" s="182" t="s">
        <v>119</v>
      </c>
      <c r="I257" s="190" t="s">
        <v>97</v>
      </c>
      <c r="J257" s="189"/>
      <c r="K257" s="151">
        <f>K258+K260</f>
        <v>10543.8</v>
      </c>
      <c r="L257" s="151">
        <f>L258+L260</f>
        <v>2.6</v>
      </c>
      <c r="M257" s="151">
        <f>M258+M260</f>
        <v>10546.4</v>
      </c>
      <c r="N257" s="151">
        <f>N258+N260</f>
        <v>10543.8</v>
      </c>
    </row>
    <row r="258" spans="1:16" s="136" customFormat="1" ht="68.45" customHeight="1">
      <c r="A258" s="140"/>
      <c r="B258" s="683" t="s">
        <v>458</v>
      </c>
      <c r="C258" s="150" t="s">
        <v>453</v>
      </c>
      <c r="D258" s="139" t="s">
        <v>306</v>
      </c>
      <c r="E258" s="139" t="s">
        <v>90</v>
      </c>
      <c r="F258" s="182" t="s">
        <v>119</v>
      </c>
      <c r="G258" s="182" t="s">
        <v>98</v>
      </c>
      <c r="H258" s="182" t="s">
        <v>119</v>
      </c>
      <c r="I258" s="190" t="s">
        <v>153</v>
      </c>
      <c r="J258" s="189"/>
      <c r="K258" s="151">
        <f t="shared" ref="K258:N258" si="85">K259</f>
        <v>10543.8</v>
      </c>
      <c r="L258" s="151">
        <f t="shared" si="85"/>
        <v>0</v>
      </c>
      <c r="M258" s="151">
        <f t="shared" si="85"/>
        <v>10543.8</v>
      </c>
      <c r="N258" s="151">
        <f t="shared" si="85"/>
        <v>10543.8</v>
      </c>
    </row>
    <row r="259" spans="1:16" s="152" customFormat="1" ht="56.25">
      <c r="A259" s="140"/>
      <c r="B259" s="199" t="s">
        <v>135</v>
      </c>
      <c r="C259" s="150" t="s">
        <v>453</v>
      </c>
      <c r="D259" s="139" t="s">
        <v>306</v>
      </c>
      <c r="E259" s="139" t="s">
        <v>90</v>
      </c>
      <c r="F259" s="557" t="s">
        <v>119</v>
      </c>
      <c r="G259" s="557" t="s">
        <v>98</v>
      </c>
      <c r="H259" s="557" t="s">
        <v>119</v>
      </c>
      <c r="I259" s="558" t="s">
        <v>153</v>
      </c>
      <c r="J259" s="139" t="s">
        <v>136</v>
      </c>
      <c r="K259" s="151">
        <v>10543.8</v>
      </c>
      <c r="L259" s="151">
        <f>M259-K259</f>
        <v>0</v>
      </c>
      <c r="M259" s="151">
        <v>10543.8</v>
      </c>
      <c r="N259" s="151">
        <v>10543.8</v>
      </c>
      <c r="P259" s="192"/>
    </row>
    <row r="260" spans="1:16" s="152" customFormat="1" ht="37.5">
      <c r="A260" s="140"/>
      <c r="B260" s="790" t="s">
        <v>455</v>
      </c>
      <c r="C260" s="785" t="s">
        <v>453</v>
      </c>
      <c r="D260" s="786" t="s">
        <v>306</v>
      </c>
      <c r="E260" s="786" t="s">
        <v>90</v>
      </c>
      <c r="F260" s="787" t="s">
        <v>119</v>
      </c>
      <c r="G260" s="788" t="s">
        <v>98</v>
      </c>
      <c r="H260" s="788" t="s">
        <v>119</v>
      </c>
      <c r="I260" s="789" t="s">
        <v>456</v>
      </c>
      <c r="J260" s="786"/>
      <c r="K260" s="706">
        <f>K261</f>
        <v>0</v>
      </c>
      <c r="L260" s="706">
        <f>L261</f>
        <v>2.6</v>
      </c>
      <c r="M260" s="706">
        <f>M261</f>
        <v>2.6</v>
      </c>
      <c r="N260" s="706">
        <f>N261</f>
        <v>0</v>
      </c>
      <c r="P260" s="192"/>
    </row>
    <row r="261" spans="1:16" s="152" customFormat="1" ht="56.25">
      <c r="A261" s="140"/>
      <c r="B261" s="790" t="s">
        <v>135</v>
      </c>
      <c r="C261" s="785" t="s">
        <v>453</v>
      </c>
      <c r="D261" s="786" t="s">
        <v>306</v>
      </c>
      <c r="E261" s="786" t="s">
        <v>90</v>
      </c>
      <c r="F261" s="787" t="s">
        <v>119</v>
      </c>
      <c r="G261" s="788" t="s">
        <v>98</v>
      </c>
      <c r="H261" s="788" t="s">
        <v>119</v>
      </c>
      <c r="I261" s="789" t="s">
        <v>456</v>
      </c>
      <c r="J261" s="786" t="s">
        <v>136</v>
      </c>
      <c r="K261" s="706">
        <v>0</v>
      </c>
      <c r="L261" s="706">
        <f>M261-K261</f>
        <v>2.6</v>
      </c>
      <c r="M261" s="706">
        <v>2.6</v>
      </c>
      <c r="N261" s="706">
        <v>0</v>
      </c>
      <c r="P261" s="192"/>
    </row>
    <row r="262" spans="1:16" s="136" customFormat="1" ht="37.5">
      <c r="A262" s="140"/>
      <c r="B262" s="199" t="s">
        <v>460</v>
      </c>
      <c r="C262" s="150" t="s">
        <v>453</v>
      </c>
      <c r="D262" s="139" t="s">
        <v>306</v>
      </c>
      <c r="E262" s="139" t="s">
        <v>90</v>
      </c>
      <c r="F262" s="182" t="s">
        <v>119</v>
      </c>
      <c r="G262" s="182" t="s">
        <v>98</v>
      </c>
      <c r="H262" s="182" t="s">
        <v>105</v>
      </c>
      <c r="I262" s="558" t="s">
        <v>97</v>
      </c>
      <c r="J262" s="139"/>
      <c r="K262" s="151">
        <f>K263</f>
        <v>10054.200000000001</v>
      </c>
      <c r="L262" s="151">
        <f>L263</f>
        <v>0</v>
      </c>
      <c r="M262" s="151">
        <f>M263</f>
        <v>10054.200000000001</v>
      </c>
      <c r="N262" s="151">
        <f>N263</f>
        <v>10054.200000000001</v>
      </c>
    </row>
    <row r="263" spans="1:16" s="136" customFormat="1" ht="71.45" customHeight="1">
      <c r="A263" s="140"/>
      <c r="B263" s="683" t="s">
        <v>458</v>
      </c>
      <c r="C263" s="150" t="s">
        <v>453</v>
      </c>
      <c r="D263" s="139" t="s">
        <v>306</v>
      </c>
      <c r="E263" s="139" t="s">
        <v>90</v>
      </c>
      <c r="F263" s="182" t="s">
        <v>119</v>
      </c>
      <c r="G263" s="182" t="s">
        <v>98</v>
      </c>
      <c r="H263" s="182" t="s">
        <v>105</v>
      </c>
      <c r="I263" s="190" t="s">
        <v>153</v>
      </c>
      <c r="J263" s="189"/>
      <c r="K263" s="151">
        <f>SUM(K264:K264)</f>
        <v>10054.200000000001</v>
      </c>
      <c r="L263" s="151">
        <f>SUM(L264:L264)</f>
        <v>0</v>
      </c>
      <c r="M263" s="151">
        <f>SUM(M264:M264)</f>
        <v>10054.200000000001</v>
      </c>
      <c r="N263" s="151">
        <f>SUM(N264:N264)</f>
        <v>10054.200000000001</v>
      </c>
    </row>
    <row r="264" spans="1:16" s="152" customFormat="1" ht="92.45" customHeight="1">
      <c r="A264" s="140"/>
      <c r="B264" s="149" t="s">
        <v>102</v>
      </c>
      <c r="C264" s="150" t="s">
        <v>453</v>
      </c>
      <c r="D264" s="139" t="s">
        <v>306</v>
      </c>
      <c r="E264" s="139" t="s">
        <v>90</v>
      </c>
      <c r="F264" s="556" t="s">
        <v>119</v>
      </c>
      <c r="G264" s="557" t="s">
        <v>98</v>
      </c>
      <c r="H264" s="557" t="s">
        <v>105</v>
      </c>
      <c r="I264" s="558" t="s">
        <v>153</v>
      </c>
      <c r="J264" s="139" t="s">
        <v>103</v>
      </c>
      <c r="K264" s="151">
        <v>10054.200000000001</v>
      </c>
      <c r="L264" s="151">
        <f>M264-K264</f>
        <v>0</v>
      </c>
      <c r="M264" s="151">
        <v>10054.200000000001</v>
      </c>
      <c r="N264" s="151">
        <v>10054.200000000001</v>
      </c>
      <c r="P264" s="192"/>
    </row>
    <row r="265" spans="1:16" s="152" customFormat="1" ht="39.6" customHeight="1">
      <c r="A265" s="140"/>
      <c r="B265" s="791" t="s">
        <v>468</v>
      </c>
      <c r="C265" s="785" t="s">
        <v>453</v>
      </c>
      <c r="D265" s="786" t="s">
        <v>306</v>
      </c>
      <c r="E265" s="786" t="s">
        <v>90</v>
      </c>
      <c r="F265" s="788" t="s">
        <v>119</v>
      </c>
      <c r="G265" s="788" t="s">
        <v>150</v>
      </c>
      <c r="H265" s="788" t="s">
        <v>95</v>
      </c>
      <c r="I265" s="789" t="s">
        <v>97</v>
      </c>
      <c r="J265" s="786"/>
      <c r="K265" s="706">
        <f t="shared" ref="K265:N267" si="86">K266</f>
        <v>0</v>
      </c>
      <c r="L265" s="706">
        <f t="shared" si="86"/>
        <v>2.1</v>
      </c>
      <c r="M265" s="706">
        <f t="shared" si="86"/>
        <v>2.1</v>
      </c>
      <c r="N265" s="706">
        <f t="shared" si="86"/>
        <v>0</v>
      </c>
      <c r="P265" s="192"/>
    </row>
    <row r="266" spans="1:16" s="152" customFormat="1" ht="92.45" customHeight="1">
      <c r="A266" s="140"/>
      <c r="B266" s="872" t="s">
        <v>461</v>
      </c>
      <c r="C266" s="873" t="s">
        <v>453</v>
      </c>
      <c r="D266" s="874" t="s">
        <v>306</v>
      </c>
      <c r="E266" s="874" t="s">
        <v>90</v>
      </c>
      <c r="F266" s="875" t="s">
        <v>119</v>
      </c>
      <c r="G266" s="875" t="s">
        <v>150</v>
      </c>
      <c r="H266" s="875" t="s">
        <v>119</v>
      </c>
      <c r="I266" s="876" t="s">
        <v>97</v>
      </c>
      <c r="J266" s="874"/>
      <c r="K266" s="706">
        <f t="shared" si="86"/>
        <v>0</v>
      </c>
      <c r="L266" s="877">
        <f t="shared" si="86"/>
        <v>2.1</v>
      </c>
      <c r="M266" s="877">
        <f t="shared" si="86"/>
        <v>2.1</v>
      </c>
      <c r="N266" s="877">
        <f t="shared" si="86"/>
        <v>0</v>
      </c>
      <c r="P266" s="192"/>
    </row>
    <row r="267" spans="1:16" s="152" customFormat="1" ht="41.45" customHeight="1">
      <c r="A267" s="140"/>
      <c r="B267" s="791" t="s">
        <v>455</v>
      </c>
      <c r="C267" s="785" t="s">
        <v>453</v>
      </c>
      <c r="D267" s="786" t="s">
        <v>306</v>
      </c>
      <c r="E267" s="786" t="s">
        <v>90</v>
      </c>
      <c r="F267" s="788" t="s">
        <v>119</v>
      </c>
      <c r="G267" s="788" t="s">
        <v>150</v>
      </c>
      <c r="H267" s="788" t="s">
        <v>119</v>
      </c>
      <c r="I267" s="789" t="s">
        <v>456</v>
      </c>
      <c r="J267" s="786"/>
      <c r="K267" s="706">
        <f t="shared" si="86"/>
        <v>0</v>
      </c>
      <c r="L267" s="706">
        <f t="shared" si="86"/>
        <v>2.1</v>
      </c>
      <c r="M267" s="706">
        <f t="shared" si="86"/>
        <v>2.1</v>
      </c>
      <c r="N267" s="706">
        <f t="shared" si="86"/>
        <v>0</v>
      </c>
      <c r="P267" s="192"/>
    </row>
    <row r="268" spans="1:16" s="152" customFormat="1" ht="54.6" customHeight="1">
      <c r="A268" s="140"/>
      <c r="B268" s="791" t="s">
        <v>135</v>
      </c>
      <c r="C268" s="785" t="s">
        <v>453</v>
      </c>
      <c r="D268" s="786" t="s">
        <v>306</v>
      </c>
      <c r="E268" s="786" t="s">
        <v>90</v>
      </c>
      <c r="F268" s="788" t="s">
        <v>119</v>
      </c>
      <c r="G268" s="788" t="s">
        <v>150</v>
      </c>
      <c r="H268" s="788" t="s">
        <v>119</v>
      </c>
      <c r="I268" s="789" t="s">
        <v>456</v>
      </c>
      <c r="J268" s="786" t="s">
        <v>136</v>
      </c>
      <c r="K268" s="706">
        <v>0</v>
      </c>
      <c r="L268" s="706">
        <f>M268-K268</f>
        <v>2.1</v>
      </c>
      <c r="M268" s="706">
        <v>2.1</v>
      </c>
      <c r="N268" s="706">
        <v>0</v>
      </c>
      <c r="P268" s="192"/>
    </row>
    <row r="269" spans="1:16" s="136" customFormat="1" ht="37.5">
      <c r="A269" s="140"/>
      <c r="B269" s="158" t="s">
        <v>462</v>
      </c>
      <c r="C269" s="150" t="s">
        <v>453</v>
      </c>
      <c r="D269" s="139" t="s">
        <v>306</v>
      </c>
      <c r="E269" s="139" t="s">
        <v>105</v>
      </c>
      <c r="F269" s="182"/>
      <c r="G269" s="182"/>
      <c r="H269" s="182"/>
      <c r="I269" s="190"/>
      <c r="J269" s="189"/>
      <c r="K269" s="151">
        <f t="shared" ref="K269:N271" si="87">K270</f>
        <v>7957.2</v>
      </c>
      <c r="L269" s="151">
        <f t="shared" si="87"/>
        <v>0</v>
      </c>
      <c r="M269" s="151">
        <f t="shared" si="87"/>
        <v>7957.2</v>
      </c>
      <c r="N269" s="151">
        <f t="shared" si="87"/>
        <v>7932</v>
      </c>
    </row>
    <row r="270" spans="1:16" s="136" customFormat="1" ht="56.25">
      <c r="A270" s="140"/>
      <c r="B270" s="685" t="s">
        <v>293</v>
      </c>
      <c r="C270" s="150" t="s">
        <v>453</v>
      </c>
      <c r="D270" s="139" t="s">
        <v>306</v>
      </c>
      <c r="E270" s="139" t="s">
        <v>105</v>
      </c>
      <c r="F270" s="182" t="s">
        <v>119</v>
      </c>
      <c r="G270" s="182" t="s">
        <v>95</v>
      </c>
      <c r="H270" s="182" t="s">
        <v>96</v>
      </c>
      <c r="I270" s="190" t="s">
        <v>97</v>
      </c>
      <c r="J270" s="189"/>
      <c r="K270" s="151">
        <f t="shared" si="87"/>
        <v>7957.2</v>
      </c>
      <c r="L270" s="151">
        <f t="shared" si="87"/>
        <v>0</v>
      </c>
      <c r="M270" s="151">
        <f t="shared" si="87"/>
        <v>7957.2</v>
      </c>
      <c r="N270" s="151">
        <f t="shared" si="87"/>
        <v>7932</v>
      </c>
    </row>
    <row r="271" spans="1:16" s="152" customFormat="1" ht="56.25">
      <c r="A271" s="140"/>
      <c r="B271" s="158" t="s">
        <v>296</v>
      </c>
      <c r="C271" s="150" t="s">
        <v>453</v>
      </c>
      <c r="D271" s="139" t="s">
        <v>306</v>
      </c>
      <c r="E271" s="139" t="s">
        <v>105</v>
      </c>
      <c r="F271" s="557" t="s">
        <v>119</v>
      </c>
      <c r="G271" s="557" t="s">
        <v>83</v>
      </c>
      <c r="H271" s="557" t="s">
        <v>96</v>
      </c>
      <c r="I271" s="558" t="s">
        <v>97</v>
      </c>
      <c r="J271" s="139"/>
      <c r="K271" s="151">
        <f t="shared" si="87"/>
        <v>7957.2</v>
      </c>
      <c r="L271" s="151">
        <f t="shared" si="87"/>
        <v>0</v>
      </c>
      <c r="M271" s="151">
        <f t="shared" si="87"/>
        <v>7957.2</v>
      </c>
      <c r="N271" s="151">
        <f t="shared" si="87"/>
        <v>7932</v>
      </c>
      <c r="P271" s="192"/>
    </row>
    <row r="272" spans="1:16" s="152" customFormat="1" ht="37.5">
      <c r="A272" s="140"/>
      <c r="B272" s="158" t="s">
        <v>389</v>
      </c>
      <c r="C272" s="150" t="s">
        <v>453</v>
      </c>
      <c r="D272" s="139" t="s">
        <v>306</v>
      </c>
      <c r="E272" s="139" t="s">
        <v>105</v>
      </c>
      <c r="F272" s="557" t="s">
        <v>119</v>
      </c>
      <c r="G272" s="557" t="s">
        <v>83</v>
      </c>
      <c r="H272" s="557" t="s">
        <v>90</v>
      </c>
      <c r="I272" s="558" t="s">
        <v>97</v>
      </c>
      <c r="J272" s="139"/>
      <c r="K272" s="151">
        <f>K273+K276</f>
        <v>7957.2</v>
      </c>
      <c r="L272" s="151">
        <f>L273+L276</f>
        <v>0</v>
      </c>
      <c r="M272" s="151">
        <f>M273+M276</f>
        <v>7957.2</v>
      </c>
      <c r="N272" s="151">
        <f>N273+N276</f>
        <v>7932</v>
      </c>
      <c r="P272" s="192"/>
    </row>
    <row r="273" spans="1:16" s="136" customFormat="1" ht="37.5">
      <c r="A273" s="140"/>
      <c r="B273" s="158" t="s">
        <v>100</v>
      </c>
      <c r="C273" s="150" t="s">
        <v>453</v>
      </c>
      <c r="D273" s="139" t="s">
        <v>306</v>
      </c>
      <c r="E273" s="139" t="s">
        <v>105</v>
      </c>
      <c r="F273" s="557" t="s">
        <v>119</v>
      </c>
      <c r="G273" s="557" t="s">
        <v>83</v>
      </c>
      <c r="H273" s="557" t="s">
        <v>90</v>
      </c>
      <c r="I273" s="558" t="s">
        <v>101</v>
      </c>
      <c r="J273" s="189"/>
      <c r="K273" s="151">
        <f t="shared" ref="K273" si="88">SUM(K274:K275)</f>
        <v>2438.3999999999996</v>
      </c>
      <c r="L273" s="151">
        <f>SUM(L274:L275)</f>
        <v>0</v>
      </c>
      <c r="M273" s="151">
        <f t="shared" ref="M273:N273" si="89">SUM(M274:M275)</f>
        <v>2438.3999999999996</v>
      </c>
      <c r="N273" s="151">
        <f t="shared" si="89"/>
        <v>2413.1999999999998</v>
      </c>
    </row>
    <row r="274" spans="1:16" s="136" customFormat="1" ht="87.6" customHeight="1">
      <c r="A274" s="140"/>
      <c r="B274" s="158" t="s">
        <v>102</v>
      </c>
      <c r="C274" s="150" t="s">
        <v>453</v>
      </c>
      <c r="D274" s="139" t="s">
        <v>306</v>
      </c>
      <c r="E274" s="139" t="s">
        <v>105</v>
      </c>
      <c r="F274" s="557" t="s">
        <v>119</v>
      </c>
      <c r="G274" s="557" t="s">
        <v>83</v>
      </c>
      <c r="H274" s="557" t="s">
        <v>90</v>
      </c>
      <c r="I274" s="558" t="s">
        <v>101</v>
      </c>
      <c r="J274" s="189" t="s">
        <v>103</v>
      </c>
      <c r="K274" s="151">
        <v>2413.1999999999998</v>
      </c>
      <c r="L274" s="151">
        <f t="shared" ref="L274:L275" si="90">M274-K274</f>
        <v>0</v>
      </c>
      <c r="M274" s="151">
        <v>2413.1999999999998</v>
      </c>
      <c r="N274" s="151">
        <v>2413.1999999999998</v>
      </c>
    </row>
    <row r="275" spans="1:16" s="136" customFormat="1" ht="33" customHeight="1">
      <c r="A275" s="140"/>
      <c r="B275" s="158" t="s">
        <v>108</v>
      </c>
      <c r="C275" s="150" t="s">
        <v>453</v>
      </c>
      <c r="D275" s="139" t="s">
        <v>306</v>
      </c>
      <c r="E275" s="139" t="s">
        <v>105</v>
      </c>
      <c r="F275" s="557" t="s">
        <v>119</v>
      </c>
      <c r="G275" s="557" t="s">
        <v>83</v>
      </c>
      <c r="H275" s="557" t="s">
        <v>90</v>
      </c>
      <c r="I275" s="558" t="s">
        <v>101</v>
      </c>
      <c r="J275" s="189" t="s">
        <v>109</v>
      </c>
      <c r="K275" s="151">
        <v>25.2</v>
      </c>
      <c r="L275" s="151">
        <f t="shared" si="90"/>
        <v>0</v>
      </c>
      <c r="M275" s="151">
        <v>25.2</v>
      </c>
      <c r="N275" s="151">
        <v>0</v>
      </c>
    </row>
    <row r="276" spans="1:16" s="152" customFormat="1" ht="69.599999999999994" customHeight="1">
      <c r="A276" s="140"/>
      <c r="B276" s="683" t="s">
        <v>458</v>
      </c>
      <c r="C276" s="150" t="s">
        <v>453</v>
      </c>
      <c r="D276" s="139" t="s">
        <v>306</v>
      </c>
      <c r="E276" s="139" t="s">
        <v>105</v>
      </c>
      <c r="F276" s="557" t="s">
        <v>119</v>
      </c>
      <c r="G276" s="557" t="s">
        <v>83</v>
      </c>
      <c r="H276" s="557" t="s">
        <v>90</v>
      </c>
      <c r="I276" s="558" t="s">
        <v>153</v>
      </c>
      <c r="J276" s="139"/>
      <c r="K276" s="151">
        <f t="shared" ref="K276:N276" si="91">K277</f>
        <v>5518.8</v>
      </c>
      <c r="L276" s="151">
        <f>L277</f>
        <v>0</v>
      </c>
      <c r="M276" s="151">
        <f t="shared" si="91"/>
        <v>5518.8</v>
      </c>
      <c r="N276" s="151">
        <f t="shared" si="91"/>
        <v>5518.8</v>
      </c>
      <c r="P276" s="192"/>
    </row>
    <row r="277" spans="1:16" s="136" customFormat="1" ht="90.6" customHeight="1">
      <c r="A277" s="140"/>
      <c r="B277" s="158" t="s">
        <v>102</v>
      </c>
      <c r="C277" s="188" t="s">
        <v>453</v>
      </c>
      <c r="D277" s="189" t="s">
        <v>306</v>
      </c>
      <c r="E277" s="189" t="s">
        <v>105</v>
      </c>
      <c r="F277" s="557" t="s">
        <v>119</v>
      </c>
      <c r="G277" s="557" t="s">
        <v>83</v>
      </c>
      <c r="H277" s="557" t="s">
        <v>90</v>
      </c>
      <c r="I277" s="558" t="s">
        <v>153</v>
      </c>
      <c r="J277" s="189" t="s">
        <v>103</v>
      </c>
      <c r="K277" s="151">
        <v>5518.8</v>
      </c>
      <c r="L277" s="151">
        <f>M277-K277</f>
        <v>0</v>
      </c>
      <c r="M277" s="151">
        <v>5518.8</v>
      </c>
      <c r="N277" s="151">
        <v>5518.8</v>
      </c>
    </row>
    <row r="278" spans="1:16" s="152" customFormat="1" ht="18.75">
      <c r="A278" s="140"/>
      <c r="B278" s="158"/>
      <c r="C278" s="188"/>
      <c r="D278" s="189"/>
      <c r="E278" s="189"/>
      <c r="F278" s="557"/>
      <c r="G278" s="557"/>
      <c r="H278" s="557"/>
      <c r="I278" s="558"/>
      <c r="J278" s="139"/>
      <c r="K278" s="151"/>
      <c r="L278" s="151"/>
      <c r="M278" s="151"/>
      <c r="N278" s="151"/>
      <c r="P278" s="192"/>
    </row>
    <row r="279" spans="1:16" s="148" customFormat="1" ht="56.25">
      <c r="A279" s="141">
        <v>7</v>
      </c>
      <c r="B279" s="682" t="s">
        <v>58</v>
      </c>
      <c r="C279" s="143" t="s">
        <v>398</v>
      </c>
      <c r="D279" s="144"/>
      <c r="E279" s="144"/>
      <c r="F279" s="146"/>
      <c r="G279" s="146"/>
      <c r="H279" s="146"/>
      <c r="I279" s="147"/>
      <c r="J279" s="144"/>
      <c r="K279" s="228">
        <f>K280</f>
        <v>36436.930999999997</v>
      </c>
      <c r="L279" s="228">
        <f>L280</f>
        <v>41.7</v>
      </c>
      <c r="M279" s="228">
        <f>M280</f>
        <v>36478.631000000001</v>
      </c>
      <c r="N279" s="228">
        <f>N280</f>
        <v>27558</v>
      </c>
    </row>
    <row r="280" spans="1:16" s="152" customFormat="1" ht="18.75">
      <c r="A280" s="140"/>
      <c r="B280" s="685" t="s">
        <v>463</v>
      </c>
      <c r="C280" s="150" t="s">
        <v>398</v>
      </c>
      <c r="D280" s="139" t="s">
        <v>123</v>
      </c>
      <c r="E280" s="139"/>
      <c r="F280" s="557"/>
      <c r="G280" s="557"/>
      <c r="H280" s="557"/>
      <c r="I280" s="558"/>
      <c r="J280" s="139"/>
      <c r="K280" s="151">
        <f>K281+K295</f>
        <v>36436.930999999997</v>
      </c>
      <c r="L280" s="151">
        <f>L281+L295</f>
        <v>41.7</v>
      </c>
      <c r="M280" s="151">
        <f>M281+M295</f>
        <v>36478.631000000001</v>
      </c>
      <c r="N280" s="151">
        <f>N281+N295</f>
        <v>27558</v>
      </c>
    </row>
    <row r="281" spans="1:16" s="148" customFormat="1" ht="18.75">
      <c r="A281" s="140"/>
      <c r="B281" s="685" t="s">
        <v>538</v>
      </c>
      <c r="C281" s="150" t="s">
        <v>398</v>
      </c>
      <c r="D281" s="139" t="s">
        <v>123</v>
      </c>
      <c r="E281" s="139" t="s">
        <v>90</v>
      </c>
      <c r="F281" s="557"/>
      <c r="G281" s="557"/>
      <c r="H281" s="557"/>
      <c r="I281" s="558"/>
      <c r="J281" s="139"/>
      <c r="K281" s="151">
        <f t="shared" ref="K281:N283" si="92">K282</f>
        <v>34153.930999999997</v>
      </c>
      <c r="L281" s="151">
        <f t="shared" si="92"/>
        <v>41.7</v>
      </c>
      <c r="M281" s="151">
        <f t="shared" si="92"/>
        <v>34195.631000000001</v>
      </c>
      <c r="N281" s="151">
        <f t="shared" si="92"/>
        <v>25295.9</v>
      </c>
    </row>
    <row r="282" spans="1:16" s="148" customFormat="1" ht="56.25">
      <c r="A282" s="140"/>
      <c r="B282" s="158" t="s">
        <v>297</v>
      </c>
      <c r="C282" s="150" t="s">
        <v>398</v>
      </c>
      <c r="D282" s="139" t="s">
        <v>123</v>
      </c>
      <c r="E282" s="139" t="s">
        <v>90</v>
      </c>
      <c r="F282" s="557" t="s">
        <v>105</v>
      </c>
      <c r="G282" s="557" t="s">
        <v>95</v>
      </c>
      <c r="H282" s="557" t="s">
        <v>96</v>
      </c>
      <c r="I282" s="558" t="s">
        <v>97</v>
      </c>
      <c r="J282" s="139"/>
      <c r="K282" s="151">
        <f>K283+K291</f>
        <v>34153.930999999997</v>
      </c>
      <c r="L282" s="151">
        <f>L283+L291</f>
        <v>41.7</v>
      </c>
      <c r="M282" s="151">
        <f>M283+M291</f>
        <v>34195.631000000001</v>
      </c>
      <c r="N282" s="151">
        <f>N283+N291</f>
        <v>25295.9</v>
      </c>
    </row>
    <row r="283" spans="1:16" s="152" customFormat="1" ht="37.5">
      <c r="A283" s="140"/>
      <c r="B283" s="158" t="s">
        <v>300</v>
      </c>
      <c r="C283" s="150" t="s">
        <v>398</v>
      </c>
      <c r="D283" s="139" t="s">
        <v>123</v>
      </c>
      <c r="E283" s="139" t="s">
        <v>90</v>
      </c>
      <c r="F283" s="557" t="s">
        <v>105</v>
      </c>
      <c r="G283" s="557" t="s">
        <v>150</v>
      </c>
      <c r="H283" s="557" t="s">
        <v>96</v>
      </c>
      <c r="I283" s="558" t="s">
        <v>97</v>
      </c>
      <c r="J283" s="139"/>
      <c r="K283" s="151">
        <f t="shared" si="92"/>
        <v>29688.5</v>
      </c>
      <c r="L283" s="151">
        <f t="shared" si="92"/>
        <v>41.7</v>
      </c>
      <c r="M283" s="151">
        <f t="shared" si="92"/>
        <v>29730.2</v>
      </c>
      <c r="N283" s="151">
        <f t="shared" si="92"/>
        <v>25295.9</v>
      </c>
    </row>
    <row r="284" spans="1:16" s="148" customFormat="1" ht="37.5">
      <c r="A284" s="140"/>
      <c r="B284" s="158" t="s">
        <v>541</v>
      </c>
      <c r="C284" s="150" t="s">
        <v>398</v>
      </c>
      <c r="D284" s="139" t="s">
        <v>123</v>
      </c>
      <c r="E284" s="139" t="s">
        <v>90</v>
      </c>
      <c r="F284" s="557" t="s">
        <v>105</v>
      </c>
      <c r="G284" s="557" t="s">
        <v>150</v>
      </c>
      <c r="H284" s="557" t="s">
        <v>92</v>
      </c>
      <c r="I284" s="558" t="s">
        <v>97</v>
      </c>
      <c r="J284" s="139"/>
      <c r="K284" s="151">
        <f>K285+K289</f>
        <v>29688.5</v>
      </c>
      <c r="L284" s="151">
        <f>L285+L289</f>
        <v>41.7</v>
      </c>
      <c r="M284" s="151">
        <f>M285+M289</f>
        <v>29730.2</v>
      </c>
      <c r="N284" s="151">
        <f>N285+N289</f>
        <v>25295.9</v>
      </c>
    </row>
    <row r="285" spans="1:16" s="148" customFormat="1" ht="68.45" customHeight="1">
      <c r="A285" s="140"/>
      <c r="B285" s="158" t="s">
        <v>151</v>
      </c>
      <c r="C285" s="150" t="s">
        <v>398</v>
      </c>
      <c r="D285" s="139" t="s">
        <v>123</v>
      </c>
      <c r="E285" s="139" t="s">
        <v>90</v>
      </c>
      <c r="F285" s="557" t="s">
        <v>105</v>
      </c>
      <c r="G285" s="557" t="s">
        <v>150</v>
      </c>
      <c r="H285" s="557" t="s">
        <v>92</v>
      </c>
      <c r="I285" s="558" t="s">
        <v>153</v>
      </c>
      <c r="J285" s="139"/>
      <c r="K285" s="151">
        <f>K286+K287+K288</f>
        <v>29688.5</v>
      </c>
      <c r="L285" s="151">
        <f>L286+L287+L288</f>
        <v>0</v>
      </c>
      <c r="M285" s="151">
        <f>M286+M287+M288</f>
        <v>29688.5</v>
      </c>
      <c r="N285" s="151">
        <f>N286+N287+N288</f>
        <v>25254.2</v>
      </c>
    </row>
    <row r="286" spans="1:16" s="148" customFormat="1" ht="88.15" customHeight="1">
      <c r="A286" s="140"/>
      <c r="B286" s="158" t="s">
        <v>102</v>
      </c>
      <c r="C286" s="150" t="s">
        <v>398</v>
      </c>
      <c r="D286" s="139" t="s">
        <v>123</v>
      </c>
      <c r="E286" s="139" t="s">
        <v>90</v>
      </c>
      <c r="F286" s="557" t="s">
        <v>105</v>
      </c>
      <c r="G286" s="557" t="s">
        <v>150</v>
      </c>
      <c r="H286" s="557" t="s">
        <v>92</v>
      </c>
      <c r="I286" s="558" t="s">
        <v>153</v>
      </c>
      <c r="J286" s="139" t="s">
        <v>103</v>
      </c>
      <c r="K286" s="151">
        <v>20730.2</v>
      </c>
      <c r="L286" s="151">
        <f t="shared" ref="L286:L288" si="93">M286-K286</f>
        <v>0</v>
      </c>
      <c r="M286" s="151">
        <v>20730.2</v>
      </c>
      <c r="N286" s="151">
        <v>20730.2</v>
      </c>
    </row>
    <row r="287" spans="1:16" s="152" customFormat="1" ht="34.15" customHeight="1">
      <c r="A287" s="140"/>
      <c r="B287" s="158" t="s">
        <v>108</v>
      </c>
      <c r="C287" s="150" t="s">
        <v>398</v>
      </c>
      <c r="D287" s="139" t="s">
        <v>123</v>
      </c>
      <c r="E287" s="139" t="s">
        <v>90</v>
      </c>
      <c r="F287" s="557" t="s">
        <v>105</v>
      </c>
      <c r="G287" s="557" t="s">
        <v>150</v>
      </c>
      <c r="H287" s="557" t="s">
        <v>92</v>
      </c>
      <c r="I287" s="558" t="s">
        <v>153</v>
      </c>
      <c r="J287" s="139" t="s">
        <v>109</v>
      </c>
      <c r="K287" s="151">
        <v>5658.3</v>
      </c>
      <c r="L287" s="151">
        <f t="shared" si="93"/>
        <v>0</v>
      </c>
      <c r="M287" s="151">
        <v>5658.3</v>
      </c>
      <c r="N287" s="151">
        <v>4524</v>
      </c>
    </row>
    <row r="288" spans="1:16" s="148" customFormat="1" ht="18.75">
      <c r="A288" s="140"/>
      <c r="B288" s="158" t="s">
        <v>110</v>
      </c>
      <c r="C288" s="150" t="s">
        <v>398</v>
      </c>
      <c r="D288" s="139" t="s">
        <v>123</v>
      </c>
      <c r="E288" s="139" t="s">
        <v>90</v>
      </c>
      <c r="F288" s="557" t="s">
        <v>105</v>
      </c>
      <c r="G288" s="557" t="s">
        <v>150</v>
      </c>
      <c r="H288" s="557" t="s">
        <v>92</v>
      </c>
      <c r="I288" s="558" t="s">
        <v>153</v>
      </c>
      <c r="J288" s="139" t="s">
        <v>111</v>
      </c>
      <c r="K288" s="151">
        <v>3300</v>
      </c>
      <c r="L288" s="151">
        <f t="shared" si="93"/>
        <v>0</v>
      </c>
      <c r="M288" s="151">
        <v>3300</v>
      </c>
      <c r="N288" s="151">
        <v>0</v>
      </c>
    </row>
    <row r="289" spans="1:16" s="148" customFormat="1" ht="56.25">
      <c r="A289" s="140"/>
      <c r="B289" s="791" t="s">
        <v>299</v>
      </c>
      <c r="C289" s="785" t="s">
        <v>398</v>
      </c>
      <c r="D289" s="786" t="s">
        <v>123</v>
      </c>
      <c r="E289" s="786" t="s">
        <v>90</v>
      </c>
      <c r="F289" s="787" t="s">
        <v>105</v>
      </c>
      <c r="G289" s="788" t="s">
        <v>150</v>
      </c>
      <c r="H289" s="788" t="s">
        <v>92</v>
      </c>
      <c r="I289" s="789" t="s">
        <v>400</v>
      </c>
      <c r="J289" s="786"/>
      <c r="K289" s="706">
        <v>0</v>
      </c>
      <c r="L289" s="706">
        <f>L290</f>
        <v>41.7</v>
      </c>
      <c r="M289" s="706">
        <f>M290</f>
        <v>41.7</v>
      </c>
      <c r="N289" s="706">
        <f>N290</f>
        <v>41.7</v>
      </c>
    </row>
    <row r="290" spans="1:16" s="148" customFormat="1" ht="38.450000000000003" customHeight="1">
      <c r="A290" s="140"/>
      <c r="B290" s="791" t="s">
        <v>108</v>
      </c>
      <c r="C290" s="785" t="s">
        <v>398</v>
      </c>
      <c r="D290" s="786" t="s">
        <v>123</v>
      </c>
      <c r="E290" s="786" t="s">
        <v>90</v>
      </c>
      <c r="F290" s="787" t="s">
        <v>105</v>
      </c>
      <c r="G290" s="788" t="s">
        <v>150</v>
      </c>
      <c r="H290" s="788" t="s">
        <v>92</v>
      </c>
      <c r="I290" s="789" t="s">
        <v>400</v>
      </c>
      <c r="J290" s="786" t="s">
        <v>109</v>
      </c>
      <c r="K290" s="706">
        <v>0</v>
      </c>
      <c r="L290" s="706">
        <f>M290-K290</f>
        <v>41.7</v>
      </c>
      <c r="M290" s="706">
        <v>41.7</v>
      </c>
      <c r="N290" s="706">
        <v>41.7</v>
      </c>
    </row>
    <row r="291" spans="1:16" s="148" customFormat="1" ht="37.5">
      <c r="A291" s="140"/>
      <c r="B291" s="159" t="s">
        <v>491</v>
      </c>
      <c r="C291" s="164" t="s">
        <v>398</v>
      </c>
      <c r="D291" s="165" t="s">
        <v>123</v>
      </c>
      <c r="E291" s="165" t="s">
        <v>90</v>
      </c>
      <c r="F291" s="174" t="s">
        <v>105</v>
      </c>
      <c r="G291" s="181" t="s">
        <v>84</v>
      </c>
      <c r="H291" s="181" t="s">
        <v>96</v>
      </c>
      <c r="I291" s="183" t="s">
        <v>97</v>
      </c>
      <c r="J291" s="184"/>
      <c r="K291" s="151">
        <f>K292</f>
        <v>4465.4309999999996</v>
      </c>
      <c r="L291" s="151">
        <f t="shared" ref="L291:L294" si="94">M291-K291</f>
        <v>0</v>
      </c>
      <c r="M291" s="151">
        <f>M292</f>
        <v>4465.4309999999996</v>
      </c>
      <c r="N291" s="151">
        <v>0</v>
      </c>
    </row>
    <row r="292" spans="1:16" s="148" customFormat="1" ht="75">
      <c r="A292" s="140"/>
      <c r="B292" s="159" t="s">
        <v>836</v>
      </c>
      <c r="C292" s="164" t="s">
        <v>398</v>
      </c>
      <c r="D292" s="165" t="s">
        <v>123</v>
      </c>
      <c r="E292" s="165" t="s">
        <v>90</v>
      </c>
      <c r="F292" s="174" t="s">
        <v>105</v>
      </c>
      <c r="G292" s="181" t="s">
        <v>84</v>
      </c>
      <c r="H292" s="181" t="s">
        <v>119</v>
      </c>
      <c r="I292" s="183" t="s">
        <v>97</v>
      </c>
      <c r="J292" s="184"/>
      <c r="K292" s="151">
        <f>K293</f>
        <v>4465.4309999999996</v>
      </c>
      <c r="L292" s="151">
        <f t="shared" si="94"/>
        <v>0</v>
      </c>
      <c r="M292" s="151">
        <f>M293</f>
        <v>4465.4309999999996</v>
      </c>
      <c r="N292" s="151">
        <v>0</v>
      </c>
    </row>
    <row r="293" spans="1:16" s="148" customFormat="1" ht="56.25">
      <c r="A293" s="140"/>
      <c r="B293" s="159" t="s">
        <v>299</v>
      </c>
      <c r="C293" s="164" t="s">
        <v>398</v>
      </c>
      <c r="D293" s="165" t="s">
        <v>123</v>
      </c>
      <c r="E293" s="165" t="s">
        <v>90</v>
      </c>
      <c r="F293" s="174" t="s">
        <v>105</v>
      </c>
      <c r="G293" s="181" t="s">
        <v>84</v>
      </c>
      <c r="H293" s="181" t="s">
        <v>119</v>
      </c>
      <c r="I293" s="183" t="s">
        <v>400</v>
      </c>
      <c r="J293" s="184"/>
      <c r="K293" s="151">
        <f>K294</f>
        <v>4465.4309999999996</v>
      </c>
      <c r="L293" s="151">
        <f t="shared" si="94"/>
        <v>0</v>
      </c>
      <c r="M293" s="151">
        <f>M294</f>
        <v>4465.4309999999996</v>
      </c>
      <c r="N293" s="151">
        <v>0</v>
      </c>
    </row>
    <row r="294" spans="1:16" s="148" customFormat="1" ht="56.25">
      <c r="A294" s="140"/>
      <c r="B294" s="149" t="s">
        <v>282</v>
      </c>
      <c r="C294" s="164" t="s">
        <v>398</v>
      </c>
      <c r="D294" s="165" t="s">
        <v>123</v>
      </c>
      <c r="E294" s="165" t="s">
        <v>90</v>
      </c>
      <c r="F294" s="174" t="s">
        <v>105</v>
      </c>
      <c r="G294" s="181" t="s">
        <v>84</v>
      </c>
      <c r="H294" s="181" t="s">
        <v>119</v>
      </c>
      <c r="I294" s="183" t="s">
        <v>400</v>
      </c>
      <c r="J294" s="184" t="s">
        <v>283</v>
      </c>
      <c r="K294" s="151">
        <v>4465.4309999999996</v>
      </c>
      <c r="L294" s="151">
        <f t="shared" si="94"/>
        <v>0</v>
      </c>
      <c r="M294" s="151">
        <v>4465.4309999999996</v>
      </c>
      <c r="N294" s="151">
        <v>0</v>
      </c>
    </row>
    <row r="295" spans="1:16" s="152" customFormat="1" ht="37.5">
      <c r="A295" s="140"/>
      <c r="B295" s="685" t="s">
        <v>278</v>
      </c>
      <c r="C295" s="150" t="s">
        <v>398</v>
      </c>
      <c r="D295" s="139" t="s">
        <v>123</v>
      </c>
      <c r="E295" s="139" t="s">
        <v>121</v>
      </c>
      <c r="F295" s="557"/>
      <c r="G295" s="557"/>
      <c r="H295" s="557"/>
      <c r="I295" s="558"/>
      <c r="J295" s="139"/>
      <c r="K295" s="151">
        <f t="shared" ref="K295:N298" si="95">K296</f>
        <v>2282.9999999999995</v>
      </c>
      <c r="L295" s="151">
        <f t="shared" si="95"/>
        <v>0</v>
      </c>
      <c r="M295" s="151">
        <f t="shared" si="95"/>
        <v>2282.9999999999995</v>
      </c>
      <c r="N295" s="151">
        <f t="shared" si="95"/>
        <v>2262.1</v>
      </c>
      <c r="P295" s="192"/>
    </row>
    <row r="296" spans="1:16" s="152" customFormat="1" ht="56.25">
      <c r="A296" s="140"/>
      <c r="B296" s="158" t="s">
        <v>297</v>
      </c>
      <c r="C296" s="150" t="s">
        <v>398</v>
      </c>
      <c r="D296" s="139" t="s">
        <v>123</v>
      </c>
      <c r="E296" s="139" t="s">
        <v>121</v>
      </c>
      <c r="F296" s="557" t="s">
        <v>105</v>
      </c>
      <c r="G296" s="557" t="s">
        <v>95</v>
      </c>
      <c r="H296" s="557" t="s">
        <v>96</v>
      </c>
      <c r="I296" s="558" t="s">
        <v>97</v>
      </c>
      <c r="J296" s="139"/>
      <c r="K296" s="151">
        <f t="shared" si="95"/>
        <v>2282.9999999999995</v>
      </c>
      <c r="L296" s="151">
        <f t="shared" si="95"/>
        <v>0</v>
      </c>
      <c r="M296" s="151">
        <f t="shared" si="95"/>
        <v>2282.9999999999995</v>
      </c>
      <c r="N296" s="151">
        <f t="shared" si="95"/>
        <v>2262.1</v>
      </c>
      <c r="P296" s="192"/>
    </row>
    <row r="297" spans="1:16" s="152" customFormat="1" ht="37.5">
      <c r="A297" s="140"/>
      <c r="B297" s="199" t="s">
        <v>300</v>
      </c>
      <c r="C297" s="150" t="s">
        <v>398</v>
      </c>
      <c r="D297" s="139" t="s">
        <v>123</v>
      </c>
      <c r="E297" s="139" t="s">
        <v>121</v>
      </c>
      <c r="F297" s="557" t="s">
        <v>105</v>
      </c>
      <c r="G297" s="557" t="s">
        <v>150</v>
      </c>
      <c r="H297" s="557" t="s">
        <v>96</v>
      </c>
      <c r="I297" s="558" t="s">
        <v>97</v>
      </c>
      <c r="J297" s="139"/>
      <c r="K297" s="151">
        <f t="shared" si="95"/>
        <v>2282.9999999999995</v>
      </c>
      <c r="L297" s="151">
        <f t="shared" si="95"/>
        <v>0</v>
      </c>
      <c r="M297" s="151">
        <f t="shared" si="95"/>
        <v>2282.9999999999995</v>
      </c>
      <c r="N297" s="151">
        <f t="shared" si="95"/>
        <v>2262.1</v>
      </c>
      <c r="P297" s="192"/>
    </row>
    <row r="298" spans="1:16" s="152" customFormat="1" ht="37.5">
      <c r="A298" s="140"/>
      <c r="B298" s="158" t="s">
        <v>389</v>
      </c>
      <c r="C298" s="150" t="s">
        <v>398</v>
      </c>
      <c r="D298" s="139" t="s">
        <v>123</v>
      </c>
      <c r="E298" s="139" t="s">
        <v>121</v>
      </c>
      <c r="F298" s="557" t="s">
        <v>105</v>
      </c>
      <c r="G298" s="557" t="s">
        <v>150</v>
      </c>
      <c r="H298" s="557" t="s">
        <v>90</v>
      </c>
      <c r="I298" s="558" t="s">
        <v>97</v>
      </c>
      <c r="J298" s="139"/>
      <c r="K298" s="151">
        <f t="shared" si="95"/>
        <v>2282.9999999999995</v>
      </c>
      <c r="L298" s="151">
        <f t="shared" si="95"/>
        <v>0</v>
      </c>
      <c r="M298" s="151">
        <f t="shared" si="95"/>
        <v>2282.9999999999995</v>
      </c>
      <c r="N298" s="151">
        <f t="shared" si="95"/>
        <v>2262.1</v>
      </c>
      <c r="P298" s="192"/>
    </row>
    <row r="299" spans="1:16" s="152" customFormat="1" ht="37.5">
      <c r="A299" s="140"/>
      <c r="B299" s="158" t="s">
        <v>100</v>
      </c>
      <c r="C299" s="150" t="s">
        <v>398</v>
      </c>
      <c r="D299" s="139" t="s">
        <v>123</v>
      </c>
      <c r="E299" s="139" t="s">
        <v>121</v>
      </c>
      <c r="F299" s="557" t="s">
        <v>105</v>
      </c>
      <c r="G299" s="557" t="s">
        <v>150</v>
      </c>
      <c r="H299" s="557" t="s">
        <v>90</v>
      </c>
      <c r="I299" s="558" t="s">
        <v>101</v>
      </c>
      <c r="J299" s="139"/>
      <c r="K299" s="151">
        <f t="shared" ref="K299" si="96">SUM(K300:K302)</f>
        <v>2282.9999999999995</v>
      </c>
      <c r="L299" s="151">
        <f>SUM(L300:L302)</f>
        <v>0</v>
      </c>
      <c r="M299" s="151">
        <f t="shared" ref="M299:N299" si="97">SUM(M300:M302)</f>
        <v>2282.9999999999995</v>
      </c>
      <c r="N299" s="151">
        <f t="shared" si="97"/>
        <v>2262.1</v>
      </c>
      <c r="P299" s="192"/>
    </row>
    <row r="300" spans="1:16" s="152" customFormat="1" ht="85.9" customHeight="1">
      <c r="A300" s="140"/>
      <c r="B300" s="158" t="s">
        <v>102</v>
      </c>
      <c r="C300" s="150" t="s">
        <v>398</v>
      </c>
      <c r="D300" s="139" t="s">
        <v>123</v>
      </c>
      <c r="E300" s="139" t="s">
        <v>121</v>
      </c>
      <c r="F300" s="557" t="s">
        <v>105</v>
      </c>
      <c r="G300" s="557" t="s">
        <v>150</v>
      </c>
      <c r="H300" s="557" t="s">
        <v>90</v>
      </c>
      <c r="I300" s="558" t="s">
        <v>101</v>
      </c>
      <c r="J300" s="139" t="s">
        <v>103</v>
      </c>
      <c r="K300" s="151">
        <v>2262.1</v>
      </c>
      <c r="L300" s="151">
        <f t="shared" ref="L300:L302" si="98">M300-K300</f>
        <v>0</v>
      </c>
      <c r="M300" s="151">
        <v>2262.1</v>
      </c>
      <c r="N300" s="151">
        <v>2262.1</v>
      </c>
      <c r="P300" s="192"/>
    </row>
    <row r="301" spans="1:16" s="152" customFormat="1" ht="33" customHeight="1">
      <c r="A301" s="140"/>
      <c r="B301" s="149" t="s">
        <v>108</v>
      </c>
      <c r="C301" s="150" t="s">
        <v>398</v>
      </c>
      <c r="D301" s="139" t="s">
        <v>123</v>
      </c>
      <c r="E301" s="139" t="s">
        <v>121</v>
      </c>
      <c r="F301" s="556" t="s">
        <v>105</v>
      </c>
      <c r="G301" s="557" t="s">
        <v>150</v>
      </c>
      <c r="H301" s="557" t="s">
        <v>90</v>
      </c>
      <c r="I301" s="558" t="s">
        <v>101</v>
      </c>
      <c r="J301" s="139" t="s">
        <v>109</v>
      </c>
      <c r="K301" s="151">
        <v>18.7</v>
      </c>
      <c r="L301" s="151">
        <f t="shared" si="98"/>
        <v>0</v>
      </c>
      <c r="M301" s="151">
        <v>18.7</v>
      </c>
      <c r="N301" s="151">
        <v>0</v>
      </c>
      <c r="O301" s="192"/>
    </row>
    <row r="302" spans="1:16" s="152" customFormat="1" ht="18.75">
      <c r="A302" s="140"/>
      <c r="B302" s="149" t="s">
        <v>110</v>
      </c>
      <c r="C302" s="150" t="s">
        <v>398</v>
      </c>
      <c r="D302" s="139" t="s">
        <v>123</v>
      </c>
      <c r="E302" s="139" t="s">
        <v>121</v>
      </c>
      <c r="F302" s="556" t="s">
        <v>105</v>
      </c>
      <c r="G302" s="557" t="s">
        <v>150</v>
      </c>
      <c r="H302" s="557" t="s">
        <v>90</v>
      </c>
      <c r="I302" s="558" t="s">
        <v>101</v>
      </c>
      <c r="J302" s="139" t="s">
        <v>111</v>
      </c>
      <c r="K302" s="151">
        <v>2.2000000000000002</v>
      </c>
      <c r="L302" s="151">
        <f t="shared" si="98"/>
        <v>0</v>
      </c>
      <c r="M302" s="151">
        <v>2.2000000000000002</v>
      </c>
      <c r="N302" s="151">
        <v>0</v>
      </c>
      <c r="O302" s="192"/>
    </row>
    <row r="303" spans="1:16" s="152" customFormat="1" ht="18.75">
      <c r="A303" s="140"/>
      <c r="B303" s="158"/>
      <c r="C303" s="150"/>
      <c r="D303" s="139"/>
      <c r="E303" s="139"/>
      <c r="F303" s="557"/>
      <c r="G303" s="557"/>
      <c r="H303" s="557"/>
      <c r="I303" s="558"/>
      <c r="J303" s="139"/>
      <c r="K303" s="151"/>
      <c r="L303" s="151"/>
      <c r="M303" s="151"/>
      <c r="N303" s="151"/>
      <c r="P303" s="192"/>
    </row>
    <row r="304" spans="1:16" s="148" customFormat="1" ht="56.25">
      <c r="A304" s="141">
        <v>8</v>
      </c>
      <c r="B304" s="682" t="s">
        <v>59</v>
      </c>
      <c r="C304" s="143" t="s">
        <v>394</v>
      </c>
      <c r="D304" s="144"/>
      <c r="E304" s="144"/>
      <c r="F304" s="146"/>
      <c r="G304" s="146"/>
      <c r="H304" s="146"/>
      <c r="I304" s="147"/>
      <c r="J304" s="144"/>
      <c r="K304" s="228">
        <f>K305</f>
        <v>4804.3999999999996</v>
      </c>
      <c r="L304" s="228">
        <f>L305</f>
        <v>0</v>
      </c>
      <c r="M304" s="228">
        <f>M305</f>
        <v>4804.3999999999996</v>
      </c>
      <c r="N304" s="228">
        <f>N305</f>
        <v>4687</v>
      </c>
    </row>
    <row r="305" spans="1:16" s="152" customFormat="1" ht="18.75">
      <c r="A305" s="141"/>
      <c r="B305" s="158" t="s">
        <v>254</v>
      </c>
      <c r="C305" s="150" t="s">
        <v>394</v>
      </c>
      <c r="D305" s="139" t="s">
        <v>304</v>
      </c>
      <c r="E305" s="139"/>
      <c r="F305" s="557"/>
      <c r="G305" s="557"/>
      <c r="H305" s="557"/>
      <c r="I305" s="558"/>
      <c r="J305" s="139"/>
      <c r="K305" s="151">
        <f>K306+K313</f>
        <v>4804.3999999999996</v>
      </c>
      <c r="L305" s="151">
        <f>L306+L313</f>
        <v>0</v>
      </c>
      <c r="M305" s="151">
        <f>M306+M313</f>
        <v>4804.3999999999996</v>
      </c>
      <c r="N305" s="151">
        <f>N306+N313</f>
        <v>4687</v>
      </c>
    </row>
    <row r="306" spans="1:16" s="153" customFormat="1" ht="18.75">
      <c r="A306" s="141"/>
      <c r="B306" s="158" t="s">
        <v>518</v>
      </c>
      <c r="C306" s="150" t="s">
        <v>394</v>
      </c>
      <c r="D306" s="139" t="s">
        <v>304</v>
      </c>
      <c r="E306" s="139" t="s">
        <v>304</v>
      </c>
      <c r="F306" s="557"/>
      <c r="G306" s="557"/>
      <c r="H306" s="557"/>
      <c r="I306" s="558"/>
      <c r="J306" s="139"/>
      <c r="K306" s="151">
        <f t="shared" ref="K306:N309" si="99">K307</f>
        <v>2153.5</v>
      </c>
      <c r="L306" s="151">
        <f t="shared" si="99"/>
        <v>0</v>
      </c>
      <c r="M306" s="151">
        <f t="shared" si="99"/>
        <v>2153.5</v>
      </c>
      <c r="N306" s="151">
        <f t="shared" si="99"/>
        <v>2153.5</v>
      </c>
    </row>
    <row r="307" spans="1:16" s="153" customFormat="1" ht="56.25">
      <c r="A307" s="141"/>
      <c r="B307" s="158" t="s">
        <v>301</v>
      </c>
      <c r="C307" s="150" t="s">
        <v>394</v>
      </c>
      <c r="D307" s="139" t="s">
        <v>304</v>
      </c>
      <c r="E307" s="139" t="s">
        <v>304</v>
      </c>
      <c r="F307" s="557" t="s">
        <v>121</v>
      </c>
      <c r="G307" s="557" t="s">
        <v>95</v>
      </c>
      <c r="H307" s="557" t="s">
        <v>96</v>
      </c>
      <c r="I307" s="558" t="s">
        <v>97</v>
      </c>
      <c r="J307" s="139"/>
      <c r="K307" s="151">
        <f t="shared" si="99"/>
        <v>2153.5</v>
      </c>
      <c r="L307" s="151">
        <f t="shared" si="99"/>
        <v>0</v>
      </c>
      <c r="M307" s="151">
        <f t="shared" si="99"/>
        <v>2153.5</v>
      </c>
      <c r="N307" s="151">
        <f t="shared" si="99"/>
        <v>2153.5</v>
      </c>
    </row>
    <row r="308" spans="1:16" s="153" customFormat="1" ht="18.75">
      <c r="A308" s="141"/>
      <c r="B308" s="158" t="s">
        <v>302</v>
      </c>
      <c r="C308" s="150" t="s">
        <v>394</v>
      </c>
      <c r="D308" s="139" t="s">
        <v>304</v>
      </c>
      <c r="E308" s="139" t="s">
        <v>304</v>
      </c>
      <c r="F308" s="557" t="s">
        <v>121</v>
      </c>
      <c r="G308" s="557" t="s">
        <v>98</v>
      </c>
      <c r="H308" s="557" t="s">
        <v>96</v>
      </c>
      <c r="I308" s="558" t="s">
        <v>97</v>
      </c>
      <c r="J308" s="139"/>
      <c r="K308" s="151">
        <f t="shared" si="99"/>
        <v>2153.5</v>
      </c>
      <c r="L308" s="151">
        <f t="shared" si="99"/>
        <v>0</v>
      </c>
      <c r="M308" s="151">
        <f t="shared" si="99"/>
        <v>2153.5</v>
      </c>
      <c r="N308" s="151">
        <f t="shared" si="99"/>
        <v>2153.5</v>
      </c>
    </row>
    <row r="309" spans="1:16" s="153" customFormat="1" ht="93.75">
      <c r="A309" s="141"/>
      <c r="B309" s="158" t="s">
        <v>395</v>
      </c>
      <c r="C309" s="150" t="s">
        <v>394</v>
      </c>
      <c r="D309" s="139" t="s">
        <v>304</v>
      </c>
      <c r="E309" s="139" t="s">
        <v>304</v>
      </c>
      <c r="F309" s="557" t="s">
        <v>121</v>
      </c>
      <c r="G309" s="557" t="s">
        <v>98</v>
      </c>
      <c r="H309" s="557" t="s">
        <v>90</v>
      </c>
      <c r="I309" s="558" t="s">
        <v>97</v>
      </c>
      <c r="J309" s="139"/>
      <c r="K309" s="151">
        <f t="shared" si="99"/>
        <v>2153.5</v>
      </c>
      <c r="L309" s="151">
        <f t="shared" si="99"/>
        <v>0</v>
      </c>
      <c r="M309" s="151">
        <f t="shared" si="99"/>
        <v>2153.5</v>
      </c>
      <c r="N309" s="151">
        <f t="shared" si="99"/>
        <v>2153.5</v>
      </c>
    </row>
    <row r="310" spans="1:16" s="153" customFormat="1" ht="70.900000000000006" customHeight="1">
      <c r="A310" s="141"/>
      <c r="B310" s="158" t="s">
        <v>151</v>
      </c>
      <c r="C310" s="150" t="s">
        <v>394</v>
      </c>
      <c r="D310" s="139" t="s">
        <v>304</v>
      </c>
      <c r="E310" s="139" t="s">
        <v>304</v>
      </c>
      <c r="F310" s="557" t="s">
        <v>121</v>
      </c>
      <c r="G310" s="557" t="s">
        <v>98</v>
      </c>
      <c r="H310" s="557" t="s">
        <v>90</v>
      </c>
      <c r="I310" s="558" t="s">
        <v>153</v>
      </c>
      <c r="J310" s="139"/>
      <c r="K310" s="151">
        <f t="shared" ref="K310" si="100">SUM(K311:K312)</f>
        <v>2153.5</v>
      </c>
      <c r="L310" s="151">
        <f>SUM(L311:L312)</f>
        <v>0</v>
      </c>
      <c r="M310" s="151">
        <f t="shared" ref="M310:N310" si="101">SUM(M311:M312)</f>
        <v>2153.5</v>
      </c>
      <c r="N310" s="151">
        <f t="shared" si="101"/>
        <v>2153.5</v>
      </c>
    </row>
    <row r="311" spans="1:16" s="153" customFormat="1" ht="90.6" customHeight="1">
      <c r="A311" s="140"/>
      <c r="B311" s="158" t="s">
        <v>102</v>
      </c>
      <c r="C311" s="150" t="s">
        <v>394</v>
      </c>
      <c r="D311" s="139" t="s">
        <v>304</v>
      </c>
      <c r="E311" s="139" t="s">
        <v>304</v>
      </c>
      <c r="F311" s="557" t="s">
        <v>121</v>
      </c>
      <c r="G311" s="557" t="s">
        <v>98</v>
      </c>
      <c r="H311" s="557" t="s">
        <v>90</v>
      </c>
      <c r="I311" s="558" t="s">
        <v>153</v>
      </c>
      <c r="J311" s="139" t="s">
        <v>103</v>
      </c>
      <c r="K311" s="151">
        <v>2114.5</v>
      </c>
      <c r="L311" s="151">
        <f t="shared" ref="L311:L312" si="102">M311-K311</f>
        <v>0</v>
      </c>
      <c r="M311" s="151">
        <v>2114.5</v>
      </c>
      <c r="N311" s="151">
        <v>2114.5</v>
      </c>
    </row>
    <row r="312" spans="1:16" s="152" customFormat="1" ht="34.9" customHeight="1">
      <c r="A312" s="140"/>
      <c r="B312" s="149" t="s">
        <v>108</v>
      </c>
      <c r="C312" s="150" t="s">
        <v>394</v>
      </c>
      <c r="D312" s="139" t="s">
        <v>304</v>
      </c>
      <c r="E312" s="139" t="s">
        <v>304</v>
      </c>
      <c r="F312" s="556" t="s">
        <v>121</v>
      </c>
      <c r="G312" s="557" t="s">
        <v>98</v>
      </c>
      <c r="H312" s="557" t="s">
        <v>90</v>
      </c>
      <c r="I312" s="558" t="s">
        <v>153</v>
      </c>
      <c r="J312" s="139" t="s">
        <v>109</v>
      </c>
      <c r="K312" s="151">
        <v>39</v>
      </c>
      <c r="L312" s="151">
        <f t="shared" si="102"/>
        <v>0</v>
      </c>
      <c r="M312" s="151">
        <v>39</v>
      </c>
      <c r="N312" s="151">
        <v>39</v>
      </c>
    </row>
    <row r="313" spans="1:16" s="152" customFormat="1" ht="19.899999999999999" customHeight="1">
      <c r="A313" s="140"/>
      <c r="B313" s="149" t="s">
        <v>261</v>
      </c>
      <c r="C313" s="193" t="s">
        <v>394</v>
      </c>
      <c r="D313" s="139" t="s">
        <v>304</v>
      </c>
      <c r="E313" s="139" t="s">
        <v>139</v>
      </c>
      <c r="F313" s="194"/>
      <c r="G313" s="195"/>
      <c r="H313" s="195"/>
      <c r="I313" s="196"/>
      <c r="J313" s="197"/>
      <c r="K313" s="151">
        <f t="shared" ref="K313:N316" si="103">K314</f>
        <v>2650.9</v>
      </c>
      <c r="L313" s="151">
        <f t="shared" si="103"/>
        <v>0</v>
      </c>
      <c r="M313" s="151">
        <f t="shared" si="103"/>
        <v>2650.9</v>
      </c>
      <c r="N313" s="151">
        <f t="shared" si="103"/>
        <v>2533.5</v>
      </c>
      <c r="P313" s="192"/>
    </row>
    <row r="314" spans="1:16" s="152" customFormat="1" ht="37.15" customHeight="1">
      <c r="A314" s="140"/>
      <c r="B314" s="149" t="s">
        <v>301</v>
      </c>
      <c r="C314" s="193" t="s">
        <v>394</v>
      </c>
      <c r="D314" s="139" t="s">
        <v>304</v>
      </c>
      <c r="E314" s="139" t="s">
        <v>139</v>
      </c>
      <c r="F314" s="194" t="s">
        <v>121</v>
      </c>
      <c r="G314" s="195" t="s">
        <v>95</v>
      </c>
      <c r="H314" s="195" t="s">
        <v>96</v>
      </c>
      <c r="I314" s="196" t="s">
        <v>97</v>
      </c>
      <c r="J314" s="197"/>
      <c r="K314" s="151">
        <f t="shared" si="103"/>
        <v>2650.9</v>
      </c>
      <c r="L314" s="151">
        <f t="shared" si="103"/>
        <v>0</v>
      </c>
      <c r="M314" s="151">
        <f t="shared" si="103"/>
        <v>2650.9</v>
      </c>
      <c r="N314" s="151">
        <f t="shared" si="103"/>
        <v>2533.5</v>
      </c>
      <c r="P314" s="192"/>
    </row>
    <row r="315" spans="1:16" s="136" customFormat="1" ht="37.5">
      <c r="A315" s="140"/>
      <c r="B315" s="158" t="s">
        <v>300</v>
      </c>
      <c r="C315" s="150" t="s">
        <v>394</v>
      </c>
      <c r="D315" s="139" t="s">
        <v>304</v>
      </c>
      <c r="E315" s="139" t="s">
        <v>139</v>
      </c>
      <c r="F315" s="557" t="s">
        <v>121</v>
      </c>
      <c r="G315" s="557" t="s">
        <v>150</v>
      </c>
      <c r="H315" s="557" t="s">
        <v>96</v>
      </c>
      <c r="I315" s="558" t="s">
        <v>97</v>
      </c>
      <c r="J315" s="139"/>
      <c r="K315" s="151">
        <f t="shared" si="103"/>
        <v>2650.9</v>
      </c>
      <c r="L315" s="151">
        <f t="shared" si="103"/>
        <v>0</v>
      </c>
      <c r="M315" s="151">
        <f t="shared" si="103"/>
        <v>2650.9</v>
      </c>
      <c r="N315" s="151">
        <f t="shared" si="103"/>
        <v>2533.5</v>
      </c>
    </row>
    <row r="316" spans="1:16" s="153" customFormat="1" ht="37.5">
      <c r="A316" s="140"/>
      <c r="B316" s="158" t="s">
        <v>389</v>
      </c>
      <c r="C316" s="150" t="s">
        <v>394</v>
      </c>
      <c r="D316" s="139" t="s">
        <v>304</v>
      </c>
      <c r="E316" s="139" t="s">
        <v>139</v>
      </c>
      <c r="F316" s="557" t="s">
        <v>121</v>
      </c>
      <c r="G316" s="557" t="s">
        <v>150</v>
      </c>
      <c r="H316" s="557" t="s">
        <v>90</v>
      </c>
      <c r="I316" s="558" t="s">
        <v>97</v>
      </c>
      <c r="J316" s="139"/>
      <c r="K316" s="151">
        <f t="shared" si="103"/>
        <v>2650.9</v>
      </c>
      <c r="L316" s="151">
        <f t="shared" si="103"/>
        <v>0</v>
      </c>
      <c r="M316" s="151">
        <f t="shared" si="103"/>
        <v>2650.9</v>
      </c>
      <c r="N316" s="151">
        <f t="shared" si="103"/>
        <v>2533.5</v>
      </c>
    </row>
    <row r="317" spans="1:16" s="152" customFormat="1" ht="37.5">
      <c r="A317" s="140"/>
      <c r="B317" s="158" t="s">
        <v>100</v>
      </c>
      <c r="C317" s="150" t="s">
        <v>394</v>
      </c>
      <c r="D317" s="139" t="s">
        <v>304</v>
      </c>
      <c r="E317" s="139" t="s">
        <v>139</v>
      </c>
      <c r="F317" s="557" t="s">
        <v>121</v>
      </c>
      <c r="G317" s="557" t="s">
        <v>150</v>
      </c>
      <c r="H317" s="557" t="s">
        <v>90</v>
      </c>
      <c r="I317" s="558" t="s">
        <v>101</v>
      </c>
      <c r="J317" s="139"/>
      <c r="K317" s="151">
        <f>K318+K319+K320</f>
        <v>2650.9</v>
      </c>
      <c r="L317" s="151">
        <f>L318+L319+L320</f>
        <v>0</v>
      </c>
      <c r="M317" s="151">
        <f>M318+M319+M320</f>
        <v>2650.9</v>
      </c>
      <c r="N317" s="151">
        <f>N318+N319+N320</f>
        <v>2533.5</v>
      </c>
    </row>
    <row r="318" spans="1:16" s="152" customFormat="1" ht="88.15" customHeight="1">
      <c r="A318" s="140"/>
      <c r="B318" s="158" t="s">
        <v>102</v>
      </c>
      <c r="C318" s="150" t="s">
        <v>394</v>
      </c>
      <c r="D318" s="139" t="s">
        <v>304</v>
      </c>
      <c r="E318" s="139" t="s">
        <v>139</v>
      </c>
      <c r="F318" s="557" t="s">
        <v>121</v>
      </c>
      <c r="G318" s="557" t="s">
        <v>150</v>
      </c>
      <c r="H318" s="557" t="s">
        <v>90</v>
      </c>
      <c r="I318" s="558" t="s">
        <v>101</v>
      </c>
      <c r="J318" s="139" t="s">
        <v>103</v>
      </c>
      <c r="K318" s="151">
        <v>2533.5</v>
      </c>
      <c r="L318" s="151">
        <f t="shared" ref="L318:L320" si="104">M318-K318</f>
        <v>0</v>
      </c>
      <c r="M318" s="151">
        <v>2533.5</v>
      </c>
      <c r="N318" s="151">
        <v>2533.5</v>
      </c>
      <c r="P318" s="192"/>
    </row>
    <row r="319" spans="1:16" s="152" customFormat="1" ht="33.6" customHeight="1">
      <c r="A319" s="140"/>
      <c r="B319" s="158" t="s">
        <v>108</v>
      </c>
      <c r="C319" s="188" t="s">
        <v>394</v>
      </c>
      <c r="D319" s="189" t="s">
        <v>304</v>
      </c>
      <c r="E319" s="139" t="s">
        <v>139</v>
      </c>
      <c r="F319" s="557" t="s">
        <v>121</v>
      </c>
      <c r="G319" s="557" t="s">
        <v>150</v>
      </c>
      <c r="H319" s="557" t="s">
        <v>90</v>
      </c>
      <c r="I319" s="558" t="s">
        <v>101</v>
      </c>
      <c r="J319" s="139" t="s">
        <v>109</v>
      </c>
      <c r="K319" s="151">
        <v>117.1</v>
      </c>
      <c r="L319" s="151">
        <f t="shared" si="104"/>
        <v>0</v>
      </c>
      <c r="M319" s="151">
        <v>117.1</v>
      </c>
      <c r="N319" s="151">
        <v>0</v>
      </c>
    </row>
    <row r="320" spans="1:16" s="152" customFormat="1" ht="18.75">
      <c r="A320" s="140"/>
      <c r="B320" s="158" t="s">
        <v>110</v>
      </c>
      <c r="C320" s="188" t="s">
        <v>394</v>
      </c>
      <c r="D320" s="189" t="s">
        <v>304</v>
      </c>
      <c r="E320" s="139" t="s">
        <v>139</v>
      </c>
      <c r="F320" s="557" t="s">
        <v>121</v>
      </c>
      <c r="G320" s="557" t="s">
        <v>150</v>
      </c>
      <c r="H320" s="557" t="s">
        <v>90</v>
      </c>
      <c r="I320" s="558" t="s">
        <v>101</v>
      </c>
      <c r="J320" s="139" t="s">
        <v>111</v>
      </c>
      <c r="K320" s="151">
        <v>0.3</v>
      </c>
      <c r="L320" s="151">
        <f t="shared" si="104"/>
        <v>0</v>
      </c>
      <c r="M320" s="151">
        <v>0.3</v>
      </c>
      <c r="N320" s="151">
        <v>0</v>
      </c>
      <c r="P320" s="192"/>
    </row>
    <row r="321" spans="1:16" ht="18.75">
      <c r="A321" s="140"/>
      <c r="B321" s="158"/>
      <c r="C321" s="188"/>
      <c r="D321" s="189"/>
      <c r="E321" s="189"/>
      <c r="F321" s="182"/>
      <c r="G321" s="182"/>
      <c r="H321" s="182"/>
      <c r="I321" s="190"/>
      <c r="J321" s="189"/>
      <c r="K321" s="151"/>
      <c r="L321" s="151"/>
      <c r="M321" s="151"/>
      <c r="N321" s="151"/>
    </row>
    <row r="322" spans="1:16" s="148" customFormat="1" ht="56.25">
      <c r="A322" s="141">
        <v>9</v>
      </c>
      <c r="B322" s="682" t="s">
        <v>60</v>
      </c>
      <c r="C322" s="143" t="s">
        <v>406</v>
      </c>
      <c r="D322" s="144"/>
      <c r="E322" s="144"/>
      <c r="F322" s="146"/>
      <c r="G322" s="146"/>
      <c r="H322" s="146"/>
      <c r="I322" s="147"/>
      <c r="J322" s="144"/>
      <c r="K322" s="228">
        <f>K323+K330</f>
        <v>69041.8</v>
      </c>
      <c r="L322" s="228">
        <f>L323+L330</f>
        <v>0</v>
      </c>
      <c r="M322" s="228">
        <f>M323+M330</f>
        <v>69041.8</v>
      </c>
      <c r="N322" s="228">
        <f>N323+N330</f>
        <v>71541.8</v>
      </c>
    </row>
    <row r="323" spans="1:16" s="152" customFormat="1" ht="18.75">
      <c r="A323" s="140"/>
      <c r="B323" s="685" t="s">
        <v>254</v>
      </c>
      <c r="C323" s="150" t="s">
        <v>406</v>
      </c>
      <c r="D323" s="139" t="s">
        <v>304</v>
      </c>
      <c r="E323" s="139"/>
      <c r="F323" s="557"/>
      <c r="G323" s="557"/>
      <c r="H323" s="557"/>
      <c r="I323" s="558"/>
      <c r="J323" s="139"/>
      <c r="K323" s="151">
        <f t="shared" ref="K323:N328" si="105">K324</f>
        <v>15.6</v>
      </c>
      <c r="L323" s="151">
        <f t="shared" si="105"/>
        <v>0</v>
      </c>
      <c r="M323" s="151">
        <f t="shared" si="105"/>
        <v>15.6</v>
      </c>
      <c r="N323" s="151">
        <f t="shared" si="105"/>
        <v>15.6</v>
      </c>
    </row>
    <row r="324" spans="1:16" s="153" customFormat="1" ht="18.75">
      <c r="A324" s="140"/>
      <c r="B324" s="158" t="s">
        <v>518</v>
      </c>
      <c r="C324" s="150" t="s">
        <v>406</v>
      </c>
      <c r="D324" s="139" t="s">
        <v>304</v>
      </c>
      <c r="E324" s="139" t="s">
        <v>304</v>
      </c>
      <c r="F324" s="557"/>
      <c r="G324" s="557"/>
      <c r="H324" s="557"/>
      <c r="I324" s="558"/>
      <c r="J324" s="139"/>
      <c r="K324" s="151">
        <f t="shared" si="105"/>
        <v>15.6</v>
      </c>
      <c r="L324" s="151">
        <f t="shared" si="105"/>
        <v>0</v>
      </c>
      <c r="M324" s="151">
        <f t="shared" si="105"/>
        <v>15.6</v>
      </c>
      <c r="N324" s="151">
        <f t="shared" si="105"/>
        <v>15.6</v>
      </c>
    </row>
    <row r="325" spans="1:16" s="153" customFormat="1" ht="56.25">
      <c r="A325" s="140"/>
      <c r="B325" s="158" t="s">
        <v>407</v>
      </c>
      <c r="C325" s="150" t="s">
        <v>406</v>
      </c>
      <c r="D325" s="139" t="s">
        <v>304</v>
      </c>
      <c r="E325" s="139" t="s">
        <v>304</v>
      </c>
      <c r="F325" s="557" t="s">
        <v>139</v>
      </c>
      <c r="G325" s="557" t="s">
        <v>95</v>
      </c>
      <c r="H325" s="557" t="s">
        <v>96</v>
      </c>
      <c r="I325" s="558" t="s">
        <v>97</v>
      </c>
      <c r="J325" s="139"/>
      <c r="K325" s="151">
        <f t="shared" si="105"/>
        <v>15.6</v>
      </c>
      <c r="L325" s="151">
        <f t="shared" si="105"/>
        <v>0</v>
      </c>
      <c r="M325" s="151">
        <f t="shared" si="105"/>
        <v>15.6</v>
      </c>
      <c r="N325" s="151">
        <f t="shared" si="105"/>
        <v>15.6</v>
      </c>
    </row>
    <row r="326" spans="1:16" s="153" customFormat="1" ht="34.9" customHeight="1">
      <c r="A326" s="140"/>
      <c r="B326" s="158" t="s">
        <v>491</v>
      </c>
      <c r="C326" s="150" t="s">
        <v>406</v>
      </c>
      <c r="D326" s="139" t="s">
        <v>304</v>
      </c>
      <c r="E326" s="139" t="s">
        <v>304</v>
      </c>
      <c r="F326" s="557" t="s">
        <v>139</v>
      </c>
      <c r="G326" s="557" t="s">
        <v>98</v>
      </c>
      <c r="H326" s="557" t="s">
        <v>96</v>
      </c>
      <c r="I326" s="558" t="s">
        <v>97</v>
      </c>
      <c r="J326" s="139"/>
      <c r="K326" s="151">
        <f t="shared" si="105"/>
        <v>15.6</v>
      </c>
      <c r="L326" s="151">
        <f t="shared" si="105"/>
        <v>0</v>
      </c>
      <c r="M326" s="151">
        <f t="shared" si="105"/>
        <v>15.6</v>
      </c>
      <c r="N326" s="151">
        <f t="shared" si="105"/>
        <v>15.6</v>
      </c>
    </row>
    <row r="327" spans="1:16" s="153" customFormat="1" ht="37.5">
      <c r="A327" s="140"/>
      <c r="B327" s="158" t="s">
        <v>392</v>
      </c>
      <c r="C327" s="150" t="s">
        <v>406</v>
      </c>
      <c r="D327" s="139" t="s">
        <v>304</v>
      </c>
      <c r="E327" s="139" t="s">
        <v>304</v>
      </c>
      <c r="F327" s="557" t="s">
        <v>139</v>
      </c>
      <c r="G327" s="557" t="s">
        <v>98</v>
      </c>
      <c r="H327" s="557" t="s">
        <v>90</v>
      </c>
      <c r="I327" s="558" t="s">
        <v>97</v>
      </c>
      <c r="J327" s="139"/>
      <c r="K327" s="151">
        <f t="shared" si="105"/>
        <v>15.6</v>
      </c>
      <c r="L327" s="151">
        <f t="shared" si="105"/>
        <v>0</v>
      </c>
      <c r="M327" s="151">
        <f t="shared" si="105"/>
        <v>15.6</v>
      </c>
      <c r="N327" s="151">
        <f t="shared" si="105"/>
        <v>15.6</v>
      </c>
    </row>
    <row r="328" spans="1:16" s="153" customFormat="1" ht="168.75">
      <c r="A328" s="140"/>
      <c r="B328" s="487" t="s">
        <v>534</v>
      </c>
      <c r="C328" s="150" t="s">
        <v>406</v>
      </c>
      <c r="D328" s="139" t="s">
        <v>304</v>
      </c>
      <c r="E328" s="139" t="s">
        <v>304</v>
      </c>
      <c r="F328" s="557" t="s">
        <v>139</v>
      </c>
      <c r="G328" s="557" t="s">
        <v>98</v>
      </c>
      <c r="H328" s="557" t="s">
        <v>90</v>
      </c>
      <c r="I328" s="558" t="s">
        <v>408</v>
      </c>
      <c r="J328" s="139"/>
      <c r="K328" s="151">
        <f t="shared" si="105"/>
        <v>15.6</v>
      </c>
      <c r="L328" s="151">
        <f t="shared" si="105"/>
        <v>0</v>
      </c>
      <c r="M328" s="151">
        <f t="shared" si="105"/>
        <v>15.6</v>
      </c>
      <c r="N328" s="151">
        <f t="shared" si="105"/>
        <v>15.6</v>
      </c>
    </row>
    <row r="329" spans="1:16" s="153" customFormat="1" ht="34.15" customHeight="1">
      <c r="A329" s="140"/>
      <c r="B329" s="158" t="s">
        <v>183</v>
      </c>
      <c r="C329" s="150" t="s">
        <v>406</v>
      </c>
      <c r="D329" s="139" t="s">
        <v>304</v>
      </c>
      <c r="E329" s="139" t="s">
        <v>304</v>
      </c>
      <c r="F329" s="557" t="s">
        <v>139</v>
      </c>
      <c r="G329" s="557" t="s">
        <v>98</v>
      </c>
      <c r="H329" s="557" t="s">
        <v>90</v>
      </c>
      <c r="I329" s="558" t="s">
        <v>408</v>
      </c>
      <c r="J329" s="139" t="s">
        <v>184</v>
      </c>
      <c r="K329" s="151">
        <v>15.6</v>
      </c>
      <c r="L329" s="151">
        <f>M329-K329</f>
        <v>0</v>
      </c>
      <c r="M329" s="151">
        <v>15.6</v>
      </c>
      <c r="N329" s="151">
        <v>15.6</v>
      </c>
    </row>
    <row r="330" spans="1:16" s="148" customFormat="1" ht="18.75">
      <c r="A330" s="140"/>
      <c r="B330" s="685" t="s">
        <v>182</v>
      </c>
      <c r="C330" s="150" t="s">
        <v>406</v>
      </c>
      <c r="D330" s="139" t="s">
        <v>167</v>
      </c>
      <c r="E330" s="139"/>
      <c r="F330" s="557"/>
      <c r="G330" s="557"/>
      <c r="H330" s="557"/>
      <c r="I330" s="558"/>
      <c r="J330" s="139"/>
      <c r="K330" s="151">
        <f t="shared" ref="K330" si="106">K331+K352</f>
        <v>69026.2</v>
      </c>
      <c r="L330" s="151">
        <f>L331+L352</f>
        <v>0</v>
      </c>
      <c r="M330" s="151">
        <f t="shared" ref="M330:N330" si="107">M331+M352</f>
        <v>69026.2</v>
      </c>
      <c r="N330" s="151">
        <f t="shared" si="107"/>
        <v>71526.2</v>
      </c>
      <c r="P330" s="187"/>
    </row>
    <row r="331" spans="1:16" s="152" customFormat="1" ht="18.75">
      <c r="A331" s="140"/>
      <c r="B331" s="158" t="s">
        <v>272</v>
      </c>
      <c r="C331" s="150" t="s">
        <v>406</v>
      </c>
      <c r="D331" s="139" t="s">
        <v>167</v>
      </c>
      <c r="E331" s="139" t="s">
        <v>105</v>
      </c>
      <c r="F331" s="557"/>
      <c r="G331" s="557"/>
      <c r="H331" s="557"/>
      <c r="I331" s="558"/>
      <c r="J331" s="139"/>
      <c r="K331" s="151">
        <f t="shared" ref="K331:N331" si="108">K332</f>
        <v>62777.4</v>
      </c>
      <c r="L331" s="151">
        <f>L332</f>
        <v>0</v>
      </c>
      <c r="M331" s="151">
        <f t="shared" si="108"/>
        <v>62777.4</v>
      </c>
      <c r="N331" s="151">
        <f t="shared" si="108"/>
        <v>65277.399999999994</v>
      </c>
    </row>
    <row r="332" spans="1:16" s="136" customFormat="1" ht="56.25">
      <c r="A332" s="140"/>
      <c r="B332" s="199" t="s">
        <v>310</v>
      </c>
      <c r="C332" s="150" t="s">
        <v>406</v>
      </c>
      <c r="D332" s="139" t="s">
        <v>167</v>
      </c>
      <c r="E332" s="139" t="s">
        <v>105</v>
      </c>
      <c r="F332" s="557" t="s">
        <v>139</v>
      </c>
      <c r="G332" s="557" t="s">
        <v>95</v>
      </c>
      <c r="H332" s="557" t="s">
        <v>96</v>
      </c>
      <c r="I332" s="558" t="s">
        <v>97</v>
      </c>
      <c r="J332" s="139"/>
      <c r="K332" s="151">
        <f t="shared" ref="K332:N332" si="109">K333</f>
        <v>62777.4</v>
      </c>
      <c r="L332" s="151">
        <f t="shared" si="109"/>
        <v>0</v>
      </c>
      <c r="M332" s="151">
        <f t="shared" si="109"/>
        <v>62777.4</v>
      </c>
      <c r="N332" s="151">
        <f t="shared" si="109"/>
        <v>65277.399999999994</v>
      </c>
    </row>
    <row r="333" spans="1:16" s="136" customFormat="1" ht="37.5">
      <c r="A333" s="140"/>
      <c r="B333" s="158" t="s">
        <v>491</v>
      </c>
      <c r="C333" s="150" t="s">
        <v>406</v>
      </c>
      <c r="D333" s="139" t="s">
        <v>167</v>
      </c>
      <c r="E333" s="139" t="s">
        <v>105</v>
      </c>
      <c r="F333" s="557" t="s">
        <v>139</v>
      </c>
      <c r="G333" s="557" t="s">
        <v>98</v>
      </c>
      <c r="H333" s="557" t="s">
        <v>96</v>
      </c>
      <c r="I333" s="558" t="s">
        <v>97</v>
      </c>
      <c r="J333" s="139"/>
      <c r="K333" s="151">
        <f t="shared" ref="K333" si="110">K334+K347</f>
        <v>62777.4</v>
      </c>
      <c r="L333" s="151">
        <f>L334+L347</f>
        <v>0</v>
      </c>
      <c r="M333" s="151">
        <f t="shared" ref="M333:N333" si="111">M334+M347</f>
        <v>62777.4</v>
      </c>
      <c r="N333" s="151">
        <f t="shared" si="111"/>
        <v>65277.399999999994</v>
      </c>
    </row>
    <row r="334" spans="1:16" s="153" customFormat="1" ht="37.5">
      <c r="A334" s="140"/>
      <c r="B334" s="158" t="s">
        <v>392</v>
      </c>
      <c r="C334" s="150" t="s">
        <v>406</v>
      </c>
      <c r="D334" s="139" t="s">
        <v>167</v>
      </c>
      <c r="E334" s="139" t="s">
        <v>105</v>
      </c>
      <c r="F334" s="557" t="s">
        <v>139</v>
      </c>
      <c r="G334" s="557" t="s">
        <v>98</v>
      </c>
      <c r="H334" s="557" t="s">
        <v>90</v>
      </c>
      <c r="I334" s="558" t="s">
        <v>97</v>
      </c>
      <c r="J334" s="139"/>
      <c r="K334" s="151">
        <f>K335+K338+K341+K344</f>
        <v>62541.200000000004</v>
      </c>
      <c r="L334" s="151">
        <f>L335+L338+L341+L344</f>
        <v>0</v>
      </c>
      <c r="M334" s="151">
        <f>M335+M338+M341+M344</f>
        <v>62541.200000000004</v>
      </c>
      <c r="N334" s="151">
        <f>N335+N338+N341+N344</f>
        <v>65041.2</v>
      </c>
    </row>
    <row r="335" spans="1:16" s="153" customFormat="1" ht="148.15" customHeight="1">
      <c r="A335" s="140"/>
      <c r="B335" s="200" t="s">
        <v>535</v>
      </c>
      <c r="C335" s="150" t="s">
        <v>406</v>
      </c>
      <c r="D335" s="139" t="s">
        <v>167</v>
      </c>
      <c r="E335" s="139" t="s">
        <v>105</v>
      </c>
      <c r="F335" s="557" t="s">
        <v>139</v>
      </c>
      <c r="G335" s="557" t="s">
        <v>98</v>
      </c>
      <c r="H335" s="557" t="s">
        <v>90</v>
      </c>
      <c r="I335" s="558" t="s">
        <v>409</v>
      </c>
      <c r="J335" s="139"/>
      <c r="K335" s="151">
        <f>SUM(K336:K337)</f>
        <v>34336.800000000003</v>
      </c>
      <c r="L335" s="151">
        <f>SUM(L336:L337)</f>
        <v>0</v>
      </c>
      <c r="M335" s="151">
        <f>SUM(M336:M337)</f>
        <v>34336.800000000003</v>
      </c>
      <c r="N335" s="151">
        <f>SUM(N336:N337)</f>
        <v>35709.599999999999</v>
      </c>
    </row>
    <row r="336" spans="1:16" s="153" customFormat="1" ht="37.15" customHeight="1">
      <c r="A336" s="140"/>
      <c r="B336" s="158" t="s">
        <v>108</v>
      </c>
      <c r="C336" s="150" t="s">
        <v>406</v>
      </c>
      <c r="D336" s="139" t="s">
        <v>167</v>
      </c>
      <c r="E336" s="139" t="s">
        <v>105</v>
      </c>
      <c r="F336" s="557" t="s">
        <v>139</v>
      </c>
      <c r="G336" s="557" t="s">
        <v>98</v>
      </c>
      <c r="H336" s="557" t="s">
        <v>90</v>
      </c>
      <c r="I336" s="558" t="s">
        <v>409</v>
      </c>
      <c r="J336" s="139" t="s">
        <v>109</v>
      </c>
      <c r="K336" s="151">
        <v>170.8</v>
      </c>
      <c r="L336" s="151">
        <f t="shared" ref="L336:L337" si="112">M336-K336</f>
        <v>0</v>
      </c>
      <c r="M336" s="151">
        <v>170.8</v>
      </c>
      <c r="N336" s="151">
        <v>177.6</v>
      </c>
    </row>
    <row r="337" spans="1:16" s="153" customFormat="1" ht="37.5">
      <c r="A337" s="140"/>
      <c r="B337" s="158" t="s">
        <v>183</v>
      </c>
      <c r="C337" s="150" t="s">
        <v>406</v>
      </c>
      <c r="D337" s="139" t="s">
        <v>167</v>
      </c>
      <c r="E337" s="139" t="s">
        <v>105</v>
      </c>
      <c r="F337" s="557" t="s">
        <v>139</v>
      </c>
      <c r="G337" s="557" t="s">
        <v>98</v>
      </c>
      <c r="H337" s="557" t="s">
        <v>90</v>
      </c>
      <c r="I337" s="558" t="s">
        <v>409</v>
      </c>
      <c r="J337" s="139" t="s">
        <v>184</v>
      </c>
      <c r="K337" s="151">
        <v>34166</v>
      </c>
      <c r="L337" s="151">
        <f t="shared" si="112"/>
        <v>0</v>
      </c>
      <c r="M337" s="151">
        <v>34166</v>
      </c>
      <c r="N337" s="151">
        <v>35532</v>
      </c>
    </row>
    <row r="338" spans="1:16" s="153" customFormat="1" ht="93.75">
      <c r="A338" s="140"/>
      <c r="B338" s="158" t="s">
        <v>536</v>
      </c>
      <c r="C338" s="150" t="s">
        <v>406</v>
      </c>
      <c r="D338" s="139" t="s">
        <v>167</v>
      </c>
      <c r="E338" s="139" t="s">
        <v>105</v>
      </c>
      <c r="F338" s="557" t="s">
        <v>139</v>
      </c>
      <c r="G338" s="557" t="s">
        <v>98</v>
      </c>
      <c r="H338" s="557" t="s">
        <v>90</v>
      </c>
      <c r="I338" s="558" t="s">
        <v>410</v>
      </c>
      <c r="J338" s="139"/>
      <c r="K338" s="151">
        <f>SUM(K339:K340)</f>
        <v>27224.300000000003</v>
      </c>
      <c r="L338" s="151">
        <f>SUM(L339:L340)</f>
        <v>0</v>
      </c>
      <c r="M338" s="151">
        <f>SUM(M339:M340)</f>
        <v>27224.300000000003</v>
      </c>
      <c r="N338" s="151">
        <f>SUM(N339:N340)</f>
        <v>28312.300000000003</v>
      </c>
    </row>
    <row r="339" spans="1:16" s="153" customFormat="1" ht="37.9" customHeight="1">
      <c r="A339" s="140"/>
      <c r="B339" s="158" t="s">
        <v>108</v>
      </c>
      <c r="C339" s="150" t="s">
        <v>406</v>
      </c>
      <c r="D339" s="139" t="s">
        <v>167</v>
      </c>
      <c r="E339" s="139" t="s">
        <v>105</v>
      </c>
      <c r="F339" s="557" t="s">
        <v>139</v>
      </c>
      <c r="G339" s="557" t="s">
        <v>98</v>
      </c>
      <c r="H339" s="557" t="s">
        <v>90</v>
      </c>
      <c r="I339" s="558" t="s">
        <v>410</v>
      </c>
      <c r="J339" s="139" t="s">
        <v>109</v>
      </c>
      <c r="K339" s="151">
        <v>135.4</v>
      </c>
      <c r="L339" s="151">
        <f t="shared" ref="L339:L340" si="113">M339-K339</f>
        <v>0</v>
      </c>
      <c r="M339" s="151">
        <v>135.4</v>
      </c>
      <c r="N339" s="151">
        <v>140.9</v>
      </c>
    </row>
    <row r="340" spans="1:16" s="153" customFormat="1" ht="37.5">
      <c r="A340" s="140"/>
      <c r="B340" s="158" t="s">
        <v>183</v>
      </c>
      <c r="C340" s="150" t="s">
        <v>406</v>
      </c>
      <c r="D340" s="139" t="s">
        <v>167</v>
      </c>
      <c r="E340" s="139" t="s">
        <v>105</v>
      </c>
      <c r="F340" s="557" t="s">
        <v>139</v>
      </c>
      <c r="G340" s="557" t="s">
        <v>98</v>
      </c>
      <c r="H340" s="557" t="s">
        <v>90</v>
      </c>
      <c r="I340" s="558" t="s">
        <v>410</v>
      </c>
      <c r="J340" s="139" t="s">
        <v>184</v>
      </c>
      <c r="K340" s="151">
        <v>27088.9</v>
      </c>
      <c r="L340" s="151">
        <f t="shared" si="113"/>
        <v>0</v>
      </c>
      <c r="M340" s="151">
        <v>27088.9</v>
      </c>
      <c r="N340" s="151">
        <v>28171.4</v>
      </c>
    </row>
    <row r="341" spans="1:16" s="153" customFormat="1" ht="93.75">
      <c r="A341" s="140"/>
      <c r="B341" s="158" t="s">
        <v>537</v>
      </c>
      <c r="C341" s="150" t="s">
        <v>406</v>
      </c>
      <c r="D341" s="139" t="s">
        <v>167</v>
      </c>
      <c r="E341" s="139" t="s">
        <v>105</v>
      </c>
      <c r="F341" s="557" t="s">
        <v>139</v>
      </c>
      <c r="G341" s="557" t="s">
        <v>98</v>
      </c>
      <c r="H341" s="557" t="s">
        <v>90</v>
      </c>
      <c r="I341" s="558" t="s">
        <v>411</v>
      </c>
      <c r="J341" s="139"/>
      <c r="K341" s="151">
        <f>SUM(K342:K343)</f>
        <v>467.40000000000003</v>
      </c>
      <c r="L341" s="151">
        <f>SUM(L342:L343)</f>
        <v>0</v>
      </c>
      <c r="M341" s="151">
        <f>SUM(M342:M343)</f>
        <v>467.40000000000003</v>
      </c>
      <c r="N341" s="151">
        <f>SUM(N342:N343)</f>
        <v>486.09999999999997</v>
      </c>
    </row>
    <row r="342" spans="1:16" s="153" customFormat="1" ht="36.6" customHeight="1">
      <c r="A342" s="140"/>
      <c r="B342" s="158" t="s">
        <v>108</v>
      </c>
      <c r="C342" s="150" t="s">
        <v>406</v>
      </c>
      <c r="D342" s="139" t="s">
        <v>167</v>
      </c>
      <c r="E342" s="139" t="s">
        <v>105</v>
      </c>
      <c r="F342" s="557" t="s">
        <v>139</v>
      </c>
      <c r="G342" s="557" t="s">
        <v>98</v>
      </c>
      <c r="H342" s="557" t="s">
        <v>90</v>
      </c>
      <c r="I342" s="558" t="s">
        <v>411</v>
      </c>
      <c r="J342" s="139" t="s">
        <v>109</v>
      </c>
      <c r="K342" s="151">
        <v>2.2999999999999998</v>
      </c>
      <c r="L342" s="151">
        <f t="shared" ref="L342:L343" si="114">M342-K342</f>
        <v>0</v>
      </c>
      <c r="M342" s="151">
        <v>2.2999999999999998</v>
      </c>
      <c r="N342" s="151">
        <v>2.4</v>
      </c>
    </row>
    <row r="343" spans="1:16" s="153" customFormat="1" ht="37.5">
      <c r="A343" s="140"/>
      <c r="B343" s="158" t="s">
        <v>183</v>
      </c>
      <c r="C343" s="150" t="s">
        <v>406</v>
      </c>
      <c r="D343" s="139" t="s">
        <v>167</v>
      </c>
      <c r="E343" s="139" t="s">
        <v>105</v>
      </c>
      <c r="F343" s="557" t="s">
        <v>139</v>
      </c>
      <c r="G343" s="557" t="s">
        <v>98</v>
      </c>
      <c r="H343" s="557" t="s">
        <v>90</v>
      </c>
      <c r="I343" s="558" t="s">
        <v>411</v>
      </c>
      <c r="J343" s="139" t="s">
        <v>184</v>
      </c>
      <c r="K343" s="151">
        <v>465.1</v>
      </c>
      <c r="L343" s="151">
        <f t="shared" si="114"/>
        <v>0</v>
      </c>
      <c r="M343" s="151">
        <v>465.1</v>
      </c>
      <c r="N343" s="151">
        <v>483.7</v>
      </c>
    </row>
    <row r="344" spans="1:16" s="153" customFormat="1" ht="131.25">
      <c r="A344" s="140"/>
      <c r="B344" s="158" t="s">
        <v>555</v>
      </c>
      <c r="C344" s="150" t="s">
        <v>406</v>
      </c>
      <c r="D344" s="139" t="s">
        <v>167</v>
      </c>
      <c r="E344" s="139" t="s">
        <v>105</v>
      </c>
      <c r="F344" s="557" t="s">
        <v>139</v>
      </c>
      <c r="G344" s="557" t="s">
        <v>98</v>
      </c>
      <c r="H344" s="557" t="s">
        <v>90</v>
      </c>
      <c r="I344" s="558" t="s">
        <v>412</v>
      </c>
      <c r="J344" s="139"/>
      <c r="K344" s="151">
        <f>SUM(K345:K346)</f>
        <v>512.70000000000005</v>
      </c>
      <c r="L344" s="151">
        <f>SUM(L345:L346)</f>
        <v>0</v>
      </c>
      <c r="M344" s="151">
        <f>SUM(M345:M346)</f>
        <v>512.70000000000005</v>
      </c>
      <c r="N344" s="151">
        <f>SUM(N345:N346)</f>
        <v>533.20000000000005</v>
      </c>
    </row>
    <row r="345" spans="1:16" s="153" customFormat="1" ht="37.15" customHeight="1">
      <c r="A345" s="140"/>
      <c r="B345" s="158" t="s">
        <v>108</v>
      </c>
      <c r="C345" s="150" t="s">
        <v>406</v>
      </c>
      <c r="D345" s="139" t="s">
        <v>167</v>
      </c>
      <c r="E345" s="139" t="s">
        <v>105</v>
      </c>
      <c r="F345" s="557" t="s">
        <v>139</v>
      </c>
      <c r="G345" s="557" t="s">
        <v>98</v>
      </c>
      <c r="H345" s="557" t="s">
        <v>90</v>
      </c>
      <c r="I345" s="558" t="s">
        <v>412</v>
      </c>
      <c r="J345" s="139" t="s">
        <v>109</v>
      </c>
      <c r="K345" s="151">
        <v>2.6</v>
      </c>
      <c r="L345" s="151">
        <f t="shared" ref="L345:L346" si="115">M345-K345</f>
        <v>0</v>
      </c>
      <c r="M345" s="151">
        <v>2.6</v>
      </c>
      <c r="N345" s="151">
        <v>2.7</v>
      </c>
    </row>
    <row r="346" spans="1:16" s="153" customFormat="1" ht="37.5">
      <c r="A346" s="140"/>
      <c r="B346" s="158" t="s">
        <v>183</v>
      </c>
      <c r="C346" s="150" t="s">
        <v>406</v>
      </c>
      <c r="D346" s="139" t="s">
        <v>167</v>
      </c>
      <c r="E346" s="139" t="s">
        <v>105</v>
      </c>
      <c r="F346" s="557" t="s">
        <v>139</v>
      </c>
      <c r="G346" s="557" t="s">
        <v>98</v>
      </c>
      <c r="H346" s="557" t="s">
        <v>90</v>
      </c>
      <c r="I346" s="558" t="s">
        <v>412</v>
      </c>
      <c r="J346" s="139" t="s">
        <v>184</v>
      </c>
      <c r="K346" s="151">
        <v>510.1</v>
      </c>
      <c r="L346" s="151">
        <f t="shared" si="115"/>
        <v>0</v>
      </c>
      <c r="M346" s="151">
        <v>510.1</v>
      </c>
      <c r="N346" s="151">
        <v>530.5</v>
      </c>
    </row>
    <row r="347" spans="1:16" s="148" customFormat="1" ht="79.5" customHeight="1">
      <c r="A347" s="140"/>
      <c r="B347" s="199" t="s">
        <v>421</v>
      </c>
      <c r="C347" s="150" t="s">
        <v>406</v>
      </c>
      <c r="D347" s="139" t="s">
        <v>167</v>
      </c>
      <c r="E347" s="139" t="s">
        <v>105</v>
      </c>
      <c r="F347" s="557" t="s">
        <v>139</v>
      </c>
      <c r="G347" s="557" t="s">
        <v>98</v>
      </c>
      <c r="H347" s="557" t="s">
        <v>92</v>
      </c>
      <c r="I347" s="558" t="s">
        <v>97</v>
      </c>
      <c r="J347" s="139"/>
      <c r="K347" s="151">
        <f>K348+K350</f>
        <v>236.2</v>
      </c>
      <c r="L347" s="151">
        <f>L348+L350</f>
        <v>0</v>
      </c>
      <c r="M347" s="151">
        <f>M348+M350</f>
        <v>236.2</v>
      </c>
      <c r="N347" s="151">
        <f>N348+N350</f>
        <v>236.2</v>
      </c>
      <c r="P347" s="187"/>
    </row>
    <row r="348" spans="1:16" s="148" customFormat="1" ht="194.25" customHeight="1">
      <c r="A348" s="140"/>
      <c r="B348" s="200" t="s">
        <v>543</v>
      </c>
      <c r="C348" s="150" t="s">
        <v>406</v>
      </c>
      <c r="D348" s="139" t="s">
        <v>167</v>
      </c>
      <c r="E348" s="139" t="s">
        <v>105</v>
      </c>
      <c r="F348" s="557" t="s">
        <v>139</v>
      </c>
      <c r="G348" s="557" t="s">
        <v>98</v>
      </c>
      <c r="H348" s="557" t="s">
        <v>92</v>
      </c>
      <c r="I348" s="558" t="s">
        <v>544</v>
      </c>
      <c r="J348" s="139"/>
      <c r="K348" s="151">
        <f>K349</f>
        <v>5.2</v>
      </c>
      <c r="L348" s="151">
        <f>L349</f>
        <v>0</v>
      </c>
      <c r="M348" s="151">
        <f>M349</f>
        <v>5.2</v>
      </c>
      <c r="N348" s="151">
        <f>N349</f>
        <v>5.2</v>
      </c>
      <c r="P348" s="187"/>
    </row>
    <row r="349" spans="1:16" s="148" customFormat="1" ht="36" customHeight="1">
      <c r="A349" s="140"/>
      <c r="B349" s="158" t="s">
        <v>183</v>
      </c>
      <c r="C349" s="150" t="s">
        <v>406</v>
      </c>
      <c r="D349" s="139" t="s">
        <v>167</v>
      </c>
      <c r="E349" s="139" t="s">
        <v>105</v>
      </c>
      <c r="F349" s="557" t="s">
        <v>139</v>
      </c>
      <c r="G349" s="557" t="s">
        <v>98</v>
      </c>
      <c r="H349" s="557" t="s">
        <v>92</v>
      </c>
      <c r="I349" s="558" t="s">
        <v>544</v>
      </c>
      <c r="J349" s="139" t="s">
        <v>184</v>
      </c>
      <c r="K349" s="151">
        <v>5.2</v>
      </c>
      <c r="L349" s="151">
        <f>M349-K349</f>
        <v>0</v>
      </c>
      <c r="M349" s="151">
        <v>5.2</v>
      </c>
      <c r="N349" s="151">
        <v>5.2</v>
      </c>
      <c r="P349" s="187"/>
    </row>
    <row r="350" spans="1:16" s="148" customFormat="1" ht="267.60000000000002" customHeight="1">
      <c r="A350" s="140"/>
      <c r="B350" s="200" t="s">
        <v>554</v>
      </c>
      <c r="C350" s="150" t="s">
        <v>406</v>
      </c>
      <c r="D350" s="139" t="s">
        <v>167</v>
      </c>
      <c r="E350" s="139" t="s">
        <v>105</v>
      </c>
      <c r="F350" s="557" t="s">
        <v>139</v>
      </c>
      <c r="G350" s="557" t="s">
        <v>98</v>
      </c>
      <c r="H350" s="557" t="s">
        <v>92</v>
      </c>
      <c r="I350" s="558" t="s">
        <v>545</v>
      </c>
      <c r="J350" s="139"/>
      <c r="K350" s="151">
        <f>K351</f>
        <v>231</v>
      </c>
      <c r="L350" s="151">
        <f>L351</f>
        <v>0</v>
      </c>
      <c r="M350" s="151">
        <f>M351</f>
        <v>231</v>
      </c>
      <c r="N350" s="151">
        <f>N351</f>
        <v>231</v>
      </c>
      <c r="P350" s="187"/>
    </row>
    <row r="351" spans="1:16" s="148" customFormat="1" ht="37.9" customHeight="1">
      <c r="A351" s="140"/>
      <c r="B351" s="158" t="s">
        <v>183</v>
      </c>
      <c r="C351" s="150" t="s">
        <v>406</v>
      </c>
      <c r="D351" s="139" t="s">
        <v>167</v>
      </c>
      <c r="E351" s="139" t="s">
        <v>105</v>
      </c>
      <c r="F351" s="557" t="s">
        <v>139</v>
      </c>
      <c r="G351" s="557" t="s">
        <v>98</v>
      </c>
      <c r="H351" s="557" t="s">
        <v>92</v>
      </c>
      <c r="I351" s="558" t="s">
        <v>545</v>
      </c>
      <c r="J351" s="139" t="s">
        <v>184</v>
      </c>
      <c r="K351" s="151">
        <v>231</v>
      </c>
      <c r="L351" s="151">
        <f>M351-K351</f>
        <v>0</v>
      </c>
      <c r="M351" s="151">
        <v>231</v>
      </c>
      <c r="N351" s="151">
        <v>231</v>
      </c>
      <c r="P351" s="187"/>
    </row>
    <row r="352" spans="1:16" s="152" customFormat="1" ht="16.899999999999999" customHeight="1">
      <c r="A352" s="140"/>
      <c r="B352" s="158" t="s">
        <v>413</v>
      </c>
      <c r="C352" s="150" t="s">
        <v>406</v>
      </c>
      <c r="D352" s="139" t="s">
        <v>167</v>
      </c>
      <c r="E352" s="139" t="s">
        <v>141</v>
      </c>
      <c r="F352" s="557"/>
      <c r="G352" s="557"/>
      <c r="H352" s="557"/>
      <c r="I352" s="558"/>
      <c r="J352" s="139"/>
      <c r="K352" s="151">
        <f t="shared" ref="K352:N354" si="116">K353</f>
        <v>6248.8</v>
      </c>
      <c r="L352" s="151">
        <f t="shared" si="116"/>
        <v>0</v>
      </c>
      <c r="M352" s="151">
        <f t="shared" si="116"/>
        <v>6248.8</v>
      </c>
      <c r="N352" s="151">
        <f t="shared" si="116"/>
        <v>6248.8</v>
      </c>
    </row>
    <row r="353" spans="1:14" s="136" customFormat="1" ht="56.25">
      <c r="A353" s="140"/>
      <c r="B353" s="199" t="s">
        <v>310</v>
      </c>
      <c r="C353" s="150" t="s">
        <v>406</v>
      </c>
      <c r="D353" s="139" t="s">
        <v>167</v>
      </c>
      <c r="E353" s="139" t="s">
        <v>141</v>
      </c>
      <c r="F353" s="557" t="s">
        <v>139</v>
      </c>
      <c r="G353" s="557" t="s">
        <v>95</v>
      </c>
      <c r="H353" s="557" t="s">
        <v>96</v>
      </c>
      <c r="I353" s="558" t="s">
        <v>97</v>
      </c>
      <c r="J353" s="139"/>
      <c r="K353" s="151">
        <f t="shared" si="116"/>
        <v>6248.8</v>
      </c>
      <c r="L353" s="151">
        <f t="shared" si="116"/>
        <v>0</v>
      </c>
      <c r="M353" s="151">
        <f t="shared" si="116"/>
        <v>6248.8</v>
      </c>
      <c r="N353" s="151">
        <f t="shared" si="116"/>
        <v>6248.8</v>
      </c>
    </row>
    <row r="354" spans="1:14" s="136" customFormat="1" ht="37.5">
      <c r="A354" s="140"/>
      <c r="B354" s="158" t="s">
        <v>491</v>
      </c>
      <c r="C354" s="150" t="s">
        <v>406</v>
      </c>
      <c r="D354" s="139" t="s">
        <v>167</v>
      </c>
      <c r="E354" s="139" t="s">
        <v>141</v>
      </c>
      <c r="F354" s="557" t="s">
        <v>139</v>
      </c>
      <c r="G354" s="557" t="s">
        <v>98</v>
      </c>
      <c r="H354" s="557" t="s">
        <v>96</v>
      </c>
      <c r="I354" s="558" t="s">
        <v>97</v>
      </c>
      <c r="J354" s="139"/>
      <c r="K354" s="151">
        <f t="shared" si="116"/>
        <v>6248.8</v>
      </c>
      <c r="L354" s="151">
        <f t="shared" si="116"/>
        <v>0</v>
      </c>
      <c r="M354" s="151">
        <f t="shared" si="116"/>
        <v>6248.8</v>
      </c>
      <c r="N354" s="151">
        <f t="shared" si="116"/>
        <v>6248.8</v>
      </c>
    </row>
    <row r="355" spans="1:14" s="153" customFormat="1" ht="37.5">
      <c r="A355" s="140"/>
      <c r="B355" s="158" t="s">
        <v>309</v>
      </c>
      <c r="C355" s="150" t="s">
        <v>406</v>
      </c>
      <c r="D355" s="139" t="s">
        <v>167</v>
      </c>
      <c r="E355" s="139" t="s">
        <v>141</v>
      </c>
      <c r="F355" s="557" t="s">
        <v>139</v>
      </c>
      <c r="G355" s="557" t="s">
        <v>98</v>
      </c>
      <c r="H355" s="557" t="s">
        <v>119</v>
      </c>
      <c r="I355" s="558" t="s">
        <v>97</v>
      </c>
      <c r="J355" s="139"/>
      <c r="K355" s="151">
        <f>K356+K359+K362</f>
        <v>6248.8</v>
      </c>
      <c r="L355" s="151">
        <f>L356+L359+L362</f>
        <v>0</v>
      </c>
      <c r="M355" s="151">
        <f>M356+M359+M362</f>
        <v>6248.8</v>
      </c>
      <c r="N355" s="151">
        <f>N356+N359+N362</f>
        <v>6248.8</v>
      </c>
    </row>
    <row r="356" spans="1:14" s="153" customFormat="1" ht="93.75">
      <c r="A356" s="140"/>
      <c r="B356" s="158" t="s">
        <v>311</v>
      </c>
      <c r="C356" s="150" t="s">
        <v>406</v>
      </c>
      <c r="D356" s="139" t="s">
        <v>167</v>
      </c>
      <c r="E356" s="139" t="s">
        <v>141</v>
      </c>
      <c r="F356" s="557" t="s">
        <v>139</v>
      </c>
      <c r="G356" s="557" t="s">
        <v>98</v>
      </c>
      <c r="H356" s="557" t="s">
        <v>119</v>
      </c>
      <c r="I356" s="558" t="s">
        <v>414</v>
      </c>
      <c r="J356" s="139"/>
      <c r="K356" s="151">
        <f>K357+K358</f>
        <v>4784.5</v>
      </c>
      <c r="L356" s="151">
        <f>L357+L358</f>
        <v>0</v>
      </c>
      <c r="M356" s="151">
        <f>M357+M358</f>
        <v>4784.5</v>
      </c>
      <c r="N356" s="151">
        <f>N357+N358</f>
        <v>4784.5</v>
      </c>
    </row>
    <row r="357" spans="1:14" s="153" customFormat="1" ht="90" customHeight="1">
      <c r="A357" s="140"/>
      <c r="B357" s="158" t="s">
        <v>102</v>
      </c>
      <c r="C357" s="150" t="s">
        <v>406</v>
      </c>
      <c r="D357" s="139" t="s">
        <v>167</v>
      </c>
      <c r="E357" s="139" t="s">
        <v>141</v>
      </c>
      <c r="F357" s="557" t="s">
        <v>139</v>
      </c>
      <c r="G357" s="557" t="s">
        <v>98</v>
      </c>
      <c r="H357" s="557" t="s">
        <v>119</v>
      </c>
      <c r="I357" s="558" t="s">
        <v>414</v>
      </c>
      <c r="J357" s="139" t="s">
        <v>103</v>
      </c>
      <c r="K357" s="151">
        <f>4413.5+21</f>
        <v>4434.5</v>
      </c>
      <c r="L357" s="151">
        <f t="shared" ref="L357:L358" si="117">M357-K357</f>
        <v>0</v>
      </c>
      <c r="M357" s="151">
        <f>4413.5+21</f>
        <v>4434.5</v>
      </c>
      <c r="N357" s="151">
        <f>4413.5+21</f>
        <v>4434.5</v>
      </c>
    </row>
    <row r="358" spans="1:14" s="153" customFormat="1" ht="32.450000000000003" customHeight="1">
      <c r="A358" s="140"/>
      <c r="B358" s="158" t="s">
        <v>108</v>
      </c>
      <c r="C358" s="150" t="s">
        <v>406</v>
      </c>
      <c r="D358" s="139" t="s">
        <v>167</v>
      </c>
      <c r="E358" s="139" t="s">
        <v>141</v>
      </c>
      <c r="F358" s="203" t="s">
        <v>139</v>
      </c>
      <c r="G358" s="203" t="s">
        <v>98</v>
      </c>
      <c r="H358" s="203" t="s">
        <v>119</v>
      </c>
      <c r="I358" s="204" t="s">
        <v>414</v>
      </c>
      <c r="J358" s="139" t="s">
        <v>109</v>
      </c>
      <c r="K358" s="151">
        <v>350</v>
      </c>
      <c r="L358" s="151">
        <f t="shared" si="117"/>
        <v>0</v>
      </c>
      <c r="M358" s="151">
        <v>350</v>
      </c>
      <c r="N358" s="151">
        <v>350</v>
      </c>
    </row>
    <row r="359" spans="1:14" s="153" customFormat="1" ht="56.25">
      <c r="A359" s="140"/>
      <c r="B359" s="149" t="s">
        <v>601</v>
      </c>
      <c r="C359" s="150" t="s">
        <v>406</v>
      </c>
      <c r="D359" s="139" t="s">
        <v>167</v>
      </c>
      <c r="E359" s="139" t="s">
        <v>141</v>
      </c>
      <c r="F359" s="557" t="s">
        <v>139</v>
      </c>
      <c r="G359" s="557" t="s">
        <v>98</v>
      </c>
      <c r="H359" s="557" t="s">
        <v>119</v>
      </c>
      <c r="I359" s="558" t="s">
        <v>415</v>
      </c>
      <c r="J359" s="139"/>
      <c r="K359" s="151">
        <f>K360+K361</f>
        <v>617.29999999999995</v>
      </c>
      <c r="L359" s="151">
        <f>L360+L361</f>
        <v>0</v>
      </c>
      <c r="M359" s="151">
        <f>M360+M361</f>
        <v>617.29999999999995</v>
      </c>
      <c r="N359" s="151">
        <f>N360+N361</f>
        <v>617.29999999999995</v>
      </c>
    </row>
    <row r="360" spans="1:14" s="153" customFormat="1" ht="87.6" customHeight="1">
      <c r="A360" s="140"/>
      <c r="B360" s="158" t="s">
        <v>102</v>
      </c>
      <c r="C360" s="150" t="s">
        <v>406</v>
      </c>
      <c r="D360" s="139" t="s">
        <v>167</v>
      </c>
      <c r="E360" s="139" t="s">
        <v>141</v>
      </c>
      <c r="F360" s="557" t="s">
        <v>139</v>
      </c>
      <c r="G360" s="557" t="s">
        <v>98</v>
      </c>
      <c r="H360" s="557" t="s">
        <v>119</v>
      </c>
      <c r="I360" s="558" t="s">
        <v>415</v>
      </c>
      <c r="J360" s="139" t="s">
        <v>103</v>
      </c>
      <c r="K360" s="151">
        <f>564.3+3</f>
        <v>567.29999999999995</v>
      </c>
      <c r="L360" s="151">
        <f t="shared" ref="L360:L361" si="118">M360-K360</f>
        <v>0</v>
      </c>
      <c r="M360" s="151">
        <f>564.3+3</f>
        <v>567.29999999999995</v>
      </c>
      <c r="N360" s="151">
        <f>564.3+3</f>
        <v>567.29999999999995</v>
      </c>
    </row>
    <row r="361" spans="1:14" s="153" customFormat="1" ht="34.15" customHeight="1">
      <c r="A361" s="140"/>
      <c r="B361" s="158" t="s">
        <v>108</v>
      </c>
      <c r="C361" s="150" t="s">
        <v>406</v>
      </c>
      <c r="D361" s="139" t="s">
        <v>167</v>
      </c>
      <c r="E361" s="139" t="s">
        <v>141</v>
      </c>
      <c r="F361" s="557" t="s">
        <v>139</v>
      </c>
      <c r="G361" s="557" t="s">
        <v>98</v>
      </c>
      <c r="H361" s="557" t="s">
        <v>119</v>
      </c>
      <c r="I361" s="558" t="s">
        <v>415</v>
      </c>
      <c r="J361" s="139" t="s">
        <v>109</v>
      </c>
      <c r="K361" s="151">
        <v>50</v>
      </c>
      <c r="L361" s="151">
        <f t="shared" si="118"/>
        <v>0</v>
      </c>
      <c r="M361" s="151">
        <v>50</v>
      </c>
      <c r="N361" s="151">
        <v>50</v>
      </c>
    </row>
    <row r="362" spans="1:14" s="153" customFormat="1" ht="18.75">
      <c r="A362" s="140"/>
      <c r="B362" s="158" t="s">
        <v>312</v>
      </c>
      <c r="C362" s="150" t="s">
        <v>406</v>
      </c>
      <c r="D362" s="139" t="s">
        <v>167</v>
      </c>
      <c r="E362" s="139" t="s">
        <v>141</v>
      </c>
      <c r="F362" s="557" t="s">
        <v>139</v>
      </c>
      <c r="G362" s="557" t="s">
        <v>98</v>
      </c>
      <c r="H362" s="557" t="s">
        <v>119</v>
      </c>
      <c r="I362" s="558" t="s">
        <v>416</v>
      </c>
      <c r="J362" s="139"/>
      <c r="K362" s="151">
        <f>K363+K364</f>
        <v>847</v>
      </c>
      <c r="L362" s="151">
        <f>L363+L364</f>
        <v>0</v>
      </c>
      <c r="M362" s="151">
        <f>M363+M364</f>
        <v>847</v>
      </c>
      <c r="N362" s="151">
        <f>N363+N364</f>
        <v>847</v>
      </c>
    </row>
    <row r="363" spans="1:14" s="153" customFormat="1" ht="88.15" customHeight="1">
      <c r="A363" s="140"/>
      <c r="B363" s="158" t="s">
        <v>102</v>
      </c>
      <c r="C363" s="150" t="s">
        <v>406</v>
      </c>
      <c r="D363" s="139" t="s">
        <v>167</v>
      </c>
      <c r="E363" s="139" t="s">
        <v>141</v>
      </c>
      <c r="F363" s="557" t="s">
        <v>139</v>
      </c>
      <c r="G363" s="557" t="s">
        <v>98</v>
      </c>
      <c r="H363" s="557" t="s">
        <v>119</v>
      </c>
      <c r="I363" s="558" t="s">
        <v>416</v>
      </c>
      <c r="J363" s="139" t="s">
        <v>103</v>
      </c>
      <c r="K363" s="151">
        <f>761+6</f>
        <v>767</v>
      </c>
      <c r="L363" s="151">
        <f t="shared" ref="L363:L364" si="119">M363-K363</f>
        <v>0</v>
      </c>
      <c r="M363" s="151">
        <f>761+6</f>
        <v>767</v>
      </c>
      <c r="N363" s="151">
        <f>761+6</f>
        <v>767</v>
      </c>
    </row>
    <row r="364" spans="1:14" s="153" customFormat="1" ht="31.9" customHeight="1">
      <c r="A364" s="140"/>
      <c r="B364" s="158" t="s">
        <v>108</v>
      </c>
      <c r="C364" s="150" t="s">
        <v>406</v>
      </c>
      <c r="D364" s="139" t="s">
        <v>167</v>
      </c>
      <c r="E364" s="139" t="s">
        <v>141</v>
      </c>
      <c r="F364" s="557" t="s">
        <v>139</v>
      </c>
      <c r="G364" s="557" t="s">
        <v>98</v>
      </c>
      <c r="H364" s="557" t="s">
        <v>119</v>
      </c>
      <c r="I364" s="558" t="s">
        <v>416</v>
      </c>
      <c r="J364" s="139" t="s">
        <v>109</v>
      </c>
      <c r="K364" s="151">
        <v>80</v>
      </c>
      <c r="L364" s="151">
        <f t="shared" si="119"/>
        <v>0</v>
      </c>
      <c r="M364" s="151">
        <v>80</v>
      </c>
      <c r="N364" s="151">
        <v>80</v>
      </c>
    </row>
    <row r="365" spans="1:14" s="153" customFormat="1" ht="18.75">
      <c r="A365" s="140"/>
      <c r="B365" s="158"/>
      <c r="C365" s="150"/>
      <c r="D365" s="139"/>
      <c r="E365" s="139"/>
      <c r="F365" s="557"/>
      <c r="G365" s="557"/>
      <c r="H365" s="557"/>
      <c r="I365" s="558"/>
      <c r="J365" s="139"/>
      <c r="K365" s="151"/>
      <c r="L365" s="151"/>
      <c r="M365" s="151"/>
      <c r="N365" s="151"/>
    </row>
    <row r="366" spans="1:14" s="153" customFormat="1" ht="18.75">
      <c r="A366" s="251">
        <v>10</v>
      </c>
      <c r="B366" s="613" t="s">
        <v>546</v>
      </c>
      <c r="C366" s="150"/>
      <c r="D366" s="139"/>
      <c r="E366" s="139"/>
      <c r="F366" s="557"/>
      <c r="G366" s="557"/>
      <c r="H366" s="557"/>
      <c r="I366" s="558"/>
      <c r="J366" s="139"/>
      <c r="K366" s="697">
        <f>K367</f>
        <v>20561.769</v>
      </c>
      <c r="L366" s="697">
        <f>L367</f>
        <v>22414.6</v>
      </c>
      <c r="M366" s="697">
        <f>M367</f>
        <v>42976.368999999999</v>
      </c>
      <c r="N366" s="697">
        <f>N367</f>
        <v>41909.800000000003</v>
      </c>
    </row>
    <row r="367" spans="1:14" s="153" customFormat="1" ht="18.75">
      <c r="A367" s="252"/>
      <c r="B367" s="617" t="s">
        <v>546</v>
      </c>
      <c r="C367" s="150"/>
      <c r="D367" s="139"/>
      <c r="E367" s="139"/>
      <c r="F367" s="557"/>
      <c r="G367" s="557"/>
      <c r="H367" s="557"/>
      <c r="I367" s="558"/>
      <c r="J367" s="139"/>
      <c r="K367" s="776">
        <f>25033.4-6.2-4465.431</f>
        <v>20561.769</v>
      </c>
      <c r="L367" s="706">
        <f>M367-K367</f>
        <v>22414.6</v>
      </c>
      <c r="M367" s="706">
        <f>25033.4-6.2-4465.431-85.4+22500</f>
        <v>42976.368999999999</v>
      </c>
      <c r="N367" s="706">
        <f>48806.5-80.7-6816</f>
        <v>41909.800000000003</v>
      </c>
    </row>
    <row r="368" spans="1:14">
      <c r="K368" s="215"/>
      <c r="L368" s="215"/>
      <c r="M368" s="215"/>
      <c r="N368" s="215"/>
    </row>
    <row r="369" spans="1:14">
      <c r="K369" s="215"/>
      <c r="L369" s="215"/>
      <c r="M369" s="215"/>
      <c r="N369" s="215"/>
    </row>
    <row r="370" spans="1:14" s="211" customFormat="1" ht="18.75">
      <c r="A370" s="205" t="s">
        <v>588</v>
      </c>
      <c r="B370" s="206"/>
      <c r="C370" s="207"/>
      <c r="D370" s="207"/>
      <c r="E370" s="207"/>
      <c r="F370" s="208"/>
      <c r="G370" s="209"/>
      <c r="H370" s="210"/>
    </row>
    <row r="371" spans="1:14" s="211" customFormat="1" ht="18.75">
      <c r="A371" s="205" t="s">
        <v>589</v>
      </c>
      <c r="B371" s="206"/>
      <c r="C371" s="207"/>
      <c r="D371" s="207"/>
      <c r="E371" s="207"/>
      <c r="F371" s="208"/>
      <c r="G371" s="209"/>
      <c r="H371" s="210"/>
    </row>
    <row r="372" spans="1:14" s="211" customFormat="1" ht="18.75">
      <c r="A372" s="212" t="s">
        <v>590</v>
      </c>
      <c r="B372" s="206"/>
      <c r="D372" s="207"/>
      <c r="E372" s="207"/>
      <c r="F372" s="208"/>
      <c r="N372" s="262" t="s">
        <v>641</v>
      </c>
    </row>
    <row r="373" spans="1:14">
      <c r="L373" s="677"/>
    </row>
    <row r="374" spans="1:14" s="698" customFormat="1" ht="15.75">
      <c r="B374" s="698" t="s">
        <v>547</v>
      </c>
      <c r="K374" s="699" t="e">
        <f>K367/('прил13(ведом 20-21)'!K15-('прил.5 (пост.безв.20-21)'!A14-'прил.5 (пост.безв.20-21)'!A18))*100</f>
        <v>#VALUE!</v>
      </c>
      <c r="L374" s="699"/>
      <c r="M374" s="699">
        <f>M367/('прил13(ведом 20-21)'!M15-('прил.5 (пост.безв.20-21)'!C14-'прил.5 (пост.безв.20-21)'!C18))*100</f>
        <v>8.2472070252643395</v>
      </c>
      <c r="N374" s="699">
        <f>N367/('прил13(ведом 20-21)'!N15-('прил.5 (пост.безв.20-21)'!D14-'прил.5 (пост.безв.20-21)'!D18))*100</f>
        <v>8.632476185395408</v>
      </c>
    </row>
    <row r="375" spans="1:14">
      <c r="L375" s="677"/>
    </row>
    <row r="376" spans="1:14" ht="18.75">
      <c r="D376" s="197" t="s">
        <v>90</v>
      </c>
      <c r="E376" s="197" t="s">
        <v>92</v>
      </c>
      <c r="F376" s="213"/>
      <c r="G376" s="213"/>
      <c r="H376" s="213"/>
      <c r="I376" s="213"/>
      <c r="J376" s="213"/>
      <c r="K376" s="220">
        <f>K18</f>
        <v>1971.5</v>
      </c>
      <c r="L376" s="220">
        <f>L18</f>
        <v>0</v>
      </c>
      <c r="M376" s="220">
        <f>M18</f>
        <v>1971.5</v>
      </c>
      <c r="N376" s="220">
        <f>N18</f>
        <v>1971.5</v>
      </c>
    </row>
    <row r="377" spans="1:14" ht="18.75">
      <c r="D377" s="197" t="s">
        <v>90</v>
      </c>
      <c r="E377" s="197" t="s">
        <v>105</v>
      </c>
      <c r="F377" s="213"/>
      <c r="G377" s="213"/>
      <c r="H377" s="213"/>
      <c r="I377" s="213"/>
      <c r="J377" s="213"/>
      <c r="K377" s="220">
        <f>K24</f>
        <v>61196.9</v>
      </c>
      <c r="L377" s="220">
        <f>L24</f>
        <v>0</v>
      </c>
      <c r="M377" s="220">
        <f>M24</f>
        <v>61196.9</v>
      </c>
      <c r="N377" s="220">
        <f>N24</f>
        <v>59364.5</v>
      </c>
    </row>
    <row r="378" spans="1:14" ht="18.75">
      <c r="D378" s="197" t="s">
        <v>90</v>
      </c>
      <c r="E378" s="197" t="s">
        <v>121</v>
      </c>
      <c r="F378" s="213"/>
      <c r="G378" s="213"/>
      <c r="H378" s="213"/>
      <c r="I378" s="213"/>
      <c r="J378" s="213"/>
      <c r="K378" s="220">
        <f>K42</f>
        <v>10.8</v>
      </c>
      <c r="L378" s="220">
        <f>L42</f>
        <v>0</v>
      </c>
      <c r="M378" s="220">
        <f>M42</f>
        <v>10.8</v>
      </c>
      <c r="N378" s="220">
        <f>N42</f>
        <v>4.7</v>
      </c>
    </row>
    <row r="379" spans="1:14" ht="18.75">
      <c r="D379" s="197" t="s">
        <v>90</v>
      </c>
      <c r="E379" s="197" t="s">
        <v>141</v>
      </c>
      <c r="F379" s="213"/>
      <c r="G379" s="213"/>
      <c r="H379" s="213"/>
      <c r="I379" s="213"/>
      <c r="J379" s="213"/>
      <c r="K379" s="220">
        <f>K110+K127</f>
        <v>25456.400000000001</v>
      </c>
      <c r="L379" s="220">
        <f>L110+L127</f>
        <v>0</v>
      </c>
      <c r="M379" s="220">
        <f>M110+M127</f>
        <v>25456.400000000001</v>
      </c>
      <c r="N379" s="220">
        <f>N110+N127</f>
        <v>25454.5</v>
      </c>
    </row>
    <row r="380" spans="1:14" ht="18.75">
      <c r="D380" s="197" t="s">
        <v>90</v>
      </c>
      <c r="E380" s="197" t="s">
        <v>123</v>
      </c>
      <c r="F380" s="213"/>
      <c r="G380" s="213"/>
      <c r="H380" s="213"/>
      <c r="I380" s="213"/>
      <c r="J380" s="213"/>
      <c r="K380" s="220">
        <f>K48</f>
        <v>3000</v>
      </c>
      <c r="L380" s="220">
        <f>L48</f>
        <v>0</v>
      </c>
      <c r="M380" s="220">
        <f>M48</f>
        <v>3000</v>
      </c>
      <c r="N380" s="220">
        <f>N48</f>
        <v>3000</v>
      </c>
    </row>
    <row r="381" spans="1:14" ht="18.75">
      <c r="D381" s="197" t="s">
        <v>90</v>
      </c>
      <c r="E381" s="197" t="s">
        <v>130</v>
      </c>
      <c r="F381" s="213"/>
      <c r="G381" s="213"/>
      <c r="H381" s="213"/>
      <c r="I381" s="213"/>
      <c r="J381" s="213"/>
      <c r="K381" s="220">
        <f>K139</f>
        <v>20979.599999999999</v>
      </c>
      <c r="L381" s="220">
        <f>L139</f>
        <v>0</v>
      </c>
      <c r="M381" s="220">
        <f>M139</f>
        <v>20979.599999999999</v>
      </c>
      <c r="N381" s="220">
        <f>N139</f>
        <v>20811.5</v>
      </c>
    </row>
    <row r="382" spans="1:14" ht="18.75">
      <c r="D382" s="214" t="s">
        <v>90</v>
      </c>
      <c r="E382" s="214" t="s">
        <v>96</v>
      </c>
      <c r="F382" s="213"/>
      <c r="G382" s="213"/>
      <c r="H382" s="213"/>
      <c r="I382" s="213"/>
      <c r="J382" s="213"/>
      <c r="K382" s="222">
        <f>SUBTOTAL(9,K376:K381)</f>
        <v>112615.20000000001</v>
      </c>
      <c r="L382" s="222">
        <f>SUBTOTAL(9,L376:L381)</f>
        <v>0</v>
      </c>
      <c r="M382" s="222">
        <f>SUBTOTAL(9,M376:M381)</f>
        <v>112615.20000000001</v>
      </c>
      <c r="N382" s="222">
        <f>SUBTOTAL(9,N376:N381)</f>
        <v>110606.7</v>
      </c>
    </row>
    <row r="383" spans="1:14" ht="18.75">
      <c r="D383" s="197"/>
      <c r="E383" s="197"/>
      <c r="F383" s="213"/>
      <c r="G383" s="213"/>
      <c r="H383" s="213"/>
      <c r="I383" s="213"/>
      <c r="J383" s="213"/>
      <c r="K383" s="220"/>
      <c r="L383" s="220"/>
      <c r="M383" s="220"/>
      <c r="N383" s="220"/>
    </row>
    <row r="384" spans="1:14" ht="18.75">
      <c r="D384" s="197" t="s">
        <v>119</v>
      </c>
      <c r="E384" s="197" t="s">
        <v>139</v>
      </c>
      <c r="F384" s="213"/>
      <c r="G384" s="213"/>
      <c r="H384" s="213"/>
      <c r="I384" s="213"/>
      <c r="J384" s="213"/>
      <c r="K384" s="220">
        <f>K55</f>
        <v>2643.1</v>
      </c>
      <c r="L384" s="220">
        <f>L55</f>
        <v>0</v>
      </c>
      <c r="M384" s="220">
        <f>M55</f>
        <v>2643.1</v>
      </c>
      <c r="N384" s="220">
        <f>N55</f>
        <v>2643.1</v>
      </c>
    </row>
    <row r="385" spans="4:18" ht="18.75">
      <c r="D385" s="197" t="s">
        <v>119</v>
      </c>
      <c r="E385" s="197" t="s">
        <v>149</v>
      </c>
      <c r="F385" s="213"/>
      <c r="G385" s="213"/>
      <c r="H385" s="213"/>
      <c r="I385" s="213"/>
      <c r="J385" s="213"/>
      <c r="K385" s="220">
        <f>K61</f>
        <v>6397.1</v>
      </c>
      <c r="L385" s="220">
        <f>L61</f>
        <v>0</v>
      </c>
      <c r="M385" s="220">
        <f>M61</f>
        <v>6397.1</v>
      </c>
      <c r="N385" s="220">
        <f>N61</f>
        <v>6363.6</v>
      </c>
    </row>
    <row r="386" spans="4:18" ht="18.75">
      <c r="D386" s="214" t="s">
        <v>119</v>
      </c>
      <c r="E386" s="214" t="s">
        <v>96</v>
      </c>
      <c r="F386" s="213"/>
      <c r="G386" s="213"/>
      <c r="H386" s="213"/>
      <c r="I386" s="213"/>
      <c r="J386" s="213"/>
      <c r="K386" s="222">
        <f>SUBTOTAL(9,K384:K385)</f>
        <v>9040.2000000000007</v>
      </c>
      <c r="L386" s="222">
        <f>SUBTOTAL(9,L384:L385)</f>
        <v>0</v>
      </c>
      <c r="M386" s="222">
        <f>SUBTOTAL(9,M384:M385)</f>
        <v>9040.2000000000007</v>
      </c>
      <c r="N386" s="222">
        <f>SUBTOTAL(9,N384:N385)</f>
        <v>9006.7000000000007</v>
      </c>
    </row>
    <row r="387" spans="4:18" ht="18.75">
      <c r="D387" s="197"/>
      <c r="E387" s="197"/>
      <c r="F387" s="213"/>
      <c r="G387" s="213"/>
      <c r="H387" s="213"/>
      <c r="I387" s="213"/>
      <c r="J387" s="213"/>
      <c r="K387" s="220"/>
      <c r="L387" s="220"/>
      <c r="M387" s="220"/>
      <c r="N387" s="220"/>
    </row>
    <row r="388" spans="4:18" ht="18.75">
      <c r="D388" s="197" t="s">
        <v>105</v>
      </c>
      <c r="E388" s="197" t="s">
        <v>121</v>
      </c>
      <c r="F388" s="213"/>
      <c r="G388" s="213"/>
      <c r="H388" s="213"/>
      <c r="I388" s="213"/>
      <c r="J388" s="213"/>
      <c r="K388" s="220">
        <f>K73</f>
        <v>11958.5</v>
      </c>
      <c r="L388" s="220">
        <f>L73</f>
        <v>0</v>
      </c>
      <c r="M388" s="220">
        <f>M73</f>
        <v>11958.5</v>
      </c>
      <c r="N388" s="220">
        <f>N73</f>
        <v>11958.5</v>
      </c>
    </row>
    <row r="389" spans="4:18" ht="18.75">
      <c r="D389" s="197" t="s">
        <v>105</v>
      </c>
      <c r="E389" s="197" t="s">
        <v>139</v>
      </c>
      <c r="F389" s="213"/>
      <c r="G389" s="213"/>
      <c r="H389" s="213"/>
      <c r="I389" s="213"/>
      <c r="J389" s="213"/>
      <c r="K389" s="220">
        <f>K82</f>
        <v>4174.1000000000004</v>
      </c>
      <c r="L389" s="220">
        <f>L82</f>
        <v>0</v>
      </c>
      <c r="M389" s="220">
        <f>M82</f>
        <v>4174.1000000000004</v>
      </c>
      <c r="N389" s="220">
        <f>N82</f>
        <v>4240.8</v>
      </c>
    </row>
    <row r="390" spans="4:18" ht="18.75">
      <c r="D390" s="197" t="s">
        <v>105</v>
      </c>
      <c r="E390" s="197" t="s">
        <v>163</v>
      </c>
      <c r="F390" s="213"/>
      <c r="G390" s="213"/>
      <c r="H390" s="213"/>
      <c r="I390" s="213"/>
      <c r="J390" s="213"/>
      <c r="K390" s="220">
        <f>K88</f>
        <v>4207.3</v>
      </c>
      <c r="L390" s="220">
        <f>L88</f>
        <v>39</v>
      </c>
      <c r="M390" s="220">
        <f>M88</f>
        <v>4246.3</v>
      </c>
      <c r="N390" s="220">
        <f>N88</f>
        <v>4197.7</v>
      </c>
      <c r="R390" s="215"/>
    </row>
    <row r="391" spans="4:18" ht="18.75">
      <c r="D391" s="214" t="s">
        <v>105</v>
      </c>
      <c r="E391" s="214" t="s">
        <v>96</v>
      </c>
      <c r="F391" s="213"/>
      <c r="G391" s="213"/>
      <c r="H391" s="213"/>
      <c r="I391" s="213"/>
      <c r="J391" s="213"/>
      <c r="K391" s="222">
        <f>SUBTOTAL(9,K388:K390)</f>
        <v>20339.900000000001</v>
      </c>
      <c r="L391" s="222">
        <f>SUBTOTAL(9,L388:L390)</f>
        <v>39</v>
      </c>
      <c r="M391" s="222">
        <f>SUBTOTAL(9,M388:M390)</f>
        <v>20378.900000000001</v>
      </c>
      <c r="N391" s="222">
        <f>SUBTOTAL(9,N388:N390)</f>
        <v>20397</v>
      </c>
    </row>
    <row r="392" spans="4:18" ht="18.75">
      <c r="D392" s="197"/>
      <c r="E392" s="197"/>
      <c r="F392" s="213"/>
      <c r="G392" s="213"/>
      <c r="H392" s="213"/>
      <c r="I392" s="213"/>
      <c r="J392" s="213"/>
      <c r="K392" s="220"/>
      <c r="L392" s="220"/>
      <c r="M392" s="220"/>
      <c r="N392" s="220"/>
    </row>
    <row r="393" spans="4:18" ht="18.75">
      <c r="D393" s="197" t="s">
        <v>121</v>
      </c>
      <c r="E393" s="197" t="s">
        <v>90</v>
      </c>
      <c r="F393" s="213"/>
      <c r="G393" s="213"/>
      <c r="H393" s="213"/>
      <c r="I393" s="213"/>
      <c r="J393" s="213"/>
      <c r="K393" s="220"/>
      <c r="L393" s="220"/>
      <c r="M393" s="220"/>
      <c r="N393" s="220"/>
    </row>
    <row r="394" spans="4:18" ht="18.75">
      <c r="D394" s="197" t="s">
        <v>121</v>
      </c>
      <c r="E394" s="197" t="s">
        <v>92</v>
      </c>
      <c r="F394" s="213"/>
      <c r="G394" s="213"/>
      <c r="H394" s="213"/>
      <c r="I394" s="213"/>
      <c r="J394" s="213"/>
      <c r="K394" s="220"/>
      <c r="L394" s="220"/>
      <c r="M394" s="220"/>
      <c r="N394" s="220"/>
    </row>
    <row r="395" spans="4:18" ht="18.75">
      <c r="D395" s="197" t="s">
        <v>121</v>
      </c>
      <c r="E395" s="197" t="s">
        <v>121</v>
      </c>
      <c r="F395" s="213"/>
      <c r="G395" s="213"/>
      <c r="H395" s="213"/>
      <c r="I395" s="213"/>
      <c r="J395" s="213"/>
      <c r="K395" s="220"/>
      <c r="L395" s="220"/>
      <c r="M395" s="220"/>
      <c r="N395" s="220"/>
    </row>
    <row r="396" spans="4:18" ht="18.75">
      <c r="D396" s="214" t="s">
        <v>121</v>
      </c>
      <c r="E396" s="214" t="s">
        <v>96</v>
      </c>
      <c r="F396" s="213"/>
      <c r="G396" s="213"/>
      <c r="H396" s="213"/>
      <c r="I396" s="213"/>
      <c r="J396" s="213"/>
      <c r="K396" s="222">
        <f>SUBTOTAL(9,K393:K395)</f>
        <v>0</v>
      </c>
      <c r="L396" s="222">
        <f>SUBTOTAL(9,L393:L395)</f>
        <v>0</v>
      </c>
      <c r="M396" s="222">
        <f>SUBTOTAL(9,M393:M395)</f>
        <v>0</v>
      </c>
      <c r="N396" s="222">
        <f>SUBTOTAL(9,N393:N395)</f>
        <v>0</v>
      </c>
    </row>
    <row r="397" spans="4:18" ht="18.75">
      <c r="D397" s="197"/>
      <c r="E397" s="197"/>
      <c r="F397" s="213"/>
      <c r="G397" s="213"/>
      <c r="H397" s="213"/>
      <c r="I397" s="213"/>
      <c r="J397" s="213"/>
      <c r="K397" s="220"/>
      <c r="L397" s="220"/>
      <c r="M397" s="220"/>
      <c r="N397" s="220"/>
    </row>
    <row r="398" spans="4:18" ht="18.75">
      <c r="D398" s="197" t="s">
        <v>304</v>
      </c>
      <c r="E398" s="197" t="s">
        <v>90</v>
      </c>
      <c r="F398" s="213"/>
      <c r="G398" s="213"/>
      <c r="H398" s="213"/>
      <c r="I398" s="213"/>
      <c r="J398" s="213"/>
      <c r="K398" s="220">
        <f>K167</f>
        <v>282079.3</v>
      </c>
      <c r="L398" s="220">
        <f>L167</f>
        <v>0</v>
      </c>
      <c r="M398" s="220">
        <f>M167</f>
        <v>282079.3</v>
      </c>
      <c r="N398" s="220">
        <f>N167</f>
        <v>268897.90000000002</v>
      </c>
    </row>
    <row r="399" spans="4:18" ht="18.75">
      <c r="D399" s="197" t="s">
        <v>304</v>
      </c>
      <c r="E399" s="197" t="s">
        <v>92</v>
      </c>
      <c r="F399" s="213"/>
      <c r="G399" s="213"/>
      <c r="H399" s="213"/>
      <c r="I399" s="213"/>
      <c r="J399" s="213"/>
      <c r="K399" s="220">
        <f>K177</f>
        <v>463725.29999999993</v>
      </c>
      <c r="L399" s="220">
        <f>L177</f>
        <v>0</v>
      </c>
      <c r="M399" s="220">
        <f>M177</f>
        <v>463725.29999999993</v>
      </c>
      <c r="N399" s="220">
        <f>N177</f>
        <v>456174.89999999991</v>
      </c>
    </row>
    <row r="400" spans="4:18" ht="18.75">
      <c r="D400" s="197" t="s">
        <v>304</v>
      </c>
      <c r="E400" s="197" t="s">
        <v>119</v>
      </c>
      <c r="F400" s="213"/>
      <c r="G400" s="213"/>
      <c r="H400" s="213"/>
      <c r="I400" s="213"/>
      <c r="J400" s="213"/>
      <c r="K400" s="220">
        <f>K201+K247</f>
        <v>91832.1</v>
      </c>
      <c r="L400" s="220">
        <f>L201+L247</f>
        <v>0</v>
      </c>
      <c r="M400" s="220">
        <f>M201+M247</f>
        <v>91832.1</v>
      </c>
      <c r="N400" s="220">
        <f>N201+N247</f>
        <v>90214.299999999988</v>
      </c>
    </row>
    <row r="401" spans="4:14" ht="18.75">
      <c r="D401" s="197" t="s">
        <v>304</v>
      </c>
      <c r="E401" s="197" t="s">
        <v>121</v>
      </c>
      <c r="F401" s="213"/>
      <c r="G401" s="213"/>
      <c r="H401" s="213"/>
      <c r="I401" s="213"/>
      <c r="J401" s="213"/>
      <c r="K401" s="220"/>
      <c r="L401" s="220"/>
      <c r="M401" s="220"/>
      <c r="N401" s="220"/>
    </row>
    <row r="402" spans="4:14" ht="18.75">
      <c r="D402" s="197" t="s">
        <v>304</v>
      </c>
      <c r="E402" s="197" t="s">
        <v>304</v>
      </c>
      <c r="F402" s="213"/>
      <c r="G402" s="213"/>
      <c r="H402" s="213"/>
      <c r="I402" s="213"/>
      <c r="J402" s="213"/>
      <c r="K402" s="220">
        <f>K306+K324+K214</f>
        <v>6126.7</v>
      </c>
      <c r="L402" s="220">
        <f>L306+L324+L214</f>
        <v>0</v>
      </c>
      <c r="M402" s="220">
        <f>M306+M324+M214</f>
        <v>6126.7</v>
      </c>
      <c r="N402" s="220">
        <f>N306+N324+N214</f>
        <v>6116.7999999999993</v>
      </c>
    </row>
    <row r="403" spans="4:14" ht="18.75">
      <c r="D403" s="197" t="s">
        <v>304</v>
      </c>
      <c r="E403" s="197" t="s">
        <v>139</v>
      </c>
      <c r="F403" s="213"/>
      <c r="G403" s="213"/>
      <c r="H403" s="213"/>
      <c r="I403" s="213"/>
      <c r="J403" s="213"/>
      <c r="K403" s="220">
        <f>K222+K313</f>
        <v>41997.4</v>
      </c>
      <c r="L403" s="220">
        <f>L222+L313</f>
        <v>0</v>
      </c>
      <c r="M403" s="220">
        <f>M222+M313</f>
        <v>41997.4</v>
      </c>
      <c r="N403" s="220">
        <f>N222+N313</f>
        <v>40952.6</v>
      </c>
    </row>
    <row r="404" spans="4:14" ht="18.75">
      <c r="D404" s="214" t="s">
        <v>304</v>
      </c>
      <c r="E404" s="214" t="s">
        <v>96</v>
      </c>
      <c r="F404" s="213"/>
      <c r="G404" s="213"/>
      <c r="H404" s="213"/>
      <c r="I404" s="213"/>
      <c r="J404" s="213"/>
      <c r="K404" s="222">
        <f>SUBTOTAL(9,K398:K403)</f>
        <v>885760.79999999981</v>
      </c>
      <c r="L404" s="222">
        <f>SUBTOTAL(9,L398:L403)</f>
        <v>0</v>
      </c>
      <c r="M404" s="222">
        <f>SUBTOTAL(9,M398:M403)</f>
        <v>885760.79999999981</v>
      </c>
      <c r="N404" s="222">
        <f>SUBTOTAL(9,N398:N403)</f>
        <v>862356.49999999988</v>
      </c>
    </row>
    <row r="405" spans="4:14" ht="18.75">
      <c r="D405" s="197"/>
      <c r="E405" s="197"/>
      <c r="F405" s="213"/>
      <c r="G405" s="213"/>
      <c r="H405" s="213"/>
      <c r="I405" s="213"/>
      <c r="J405" s="213"/>
      <c r="K405" s="220"/>
      <c r="L405" s="220"/>
      <c r="M405" s="220"/>
      <c r="N405" s="220"/>
    </row>
    <row r="406" spans="4:14" ht="18.75">
      <c r="D406" s="197" t="s">
        <v>306</v>
      </c>
      <c r="E406" s="197" t="s">
        <v>90</v>
      </c>
      <c r="F406" s="213"/>
      <c r="G406" s="213"/>
      <c r="H406" s="213"/>
      <c r="I406" s="213"/>
      <c r="J406" s="213"/>
      <c r="K406" s="220">
        <f>K254</f>
        <v>20598</v>
      </c>
      <c r="L406" s="220">
        <f>L254</f>
        <v>4.7</v>
      </c>
      <c r="M406" s="220">
        <f>M254</f>
        <v>20602.699999999997</v>
      </c>
      <c r="N406" s="220">
        <f>N254</f>
        <v>20598</v>
      </c>
    </row>
    <row r="407" spans="4:14" ht="18.75">
      <c r="D407" s="197" t="s">
        <v>306</v>
      </c>
      <c r="E407" s="197" t="s">
        <v>105</v>
      </c>
      <c r="F407" s="213"/>
      <c r="G407" s="213"/>
      <c r="H407" s="213"/>
      <c r="I407" s="213"/>
      <c r="J407" s="213"/>
      <c r="K407" s="220">
        <f>K269</f>
        <v>7957.2</v>
      </c>
      <c r="L407" s="220">
        <f>L269</f>
        <v>0</v>
      </c>
      <c r="M407" s="220">
        <f>M269</f>
        <v>7957.2</v>
      </c>
      <c r="N407" s="220">
        <f>N269</f>
        <v>7932</v>
      </c>
    </row>
    <row r="408" spans="4:14" ht="18.75">
      <c r="D408" s="214" t="s">
        <v>306</v>
      </c>
      <c r="E408" s="214" t="s">
        <v>96</v>
      </c>
      <c r="F408" s="213"/>
      <c r="G408" s="213"/>
      <c r="H408" s="213"/>
      <c r="I408" s="213"/>
      <c r="J408" s="213"/>
      <c r="K408" s="222">
        <f>SUBTOTAL(9,K406:K407)</f>
        <v>28555.200000000001</v>
      </c>
      <c r="L408" s="222">
        <f>SUBTOTAL(9,L406:L407)</f>
        <v>4.7</v>
      </c>
      <c r="M408" s="222">
        <f>SUBTOTAL(9,M406:M407)</f>
        <v>28559.899999999998</v>
      </c>
      <c r="N408" s="222">
        <f>SUBTOTAL(9,N406:N407)</f>
        <v>28530</v>
      </c>
    </row>
    <row r="409" spans="4:14" ht="18.75">
      <c r="D409" s="197"/>
      <c r="E409" s="197"/>
      <c r="F409" s="213"/>
      <c r="G409" s="213"/>
      <c r="H409" s="213"/>
      <c r="I409" s="213"/>
      <c r="J409" s="213"/>
      <c r="K409" s="220"/>
      <c r="L409" s="220"/>
      <c r="M409" s="220"/>
      <c r="N409" s="220"/>
    </row>
    <row r="410" spans="4:14" ht="18.75">
      <c r="D410" s="197" t="s">
        <v>139</v>
      </c>
      <c r="E410" s="197" t="s">
        <v>90</v>
      </c>
      <c r="F410" s="213"/>
      <c r="G410" s="213"/>
      <c r="H410" s="213"/>
      <c r="I410" s="213"/>
      <c r="J410" s="213"/>
      <c r="K410" s="220"/>
      <c r="L410" s="220"/>
      <c r="M410" s="220"/>
      <c r="N410" s="220"/>
    </row>
    <row r="411" spans="4:14" ht="18.75">
      <c r="D411" s="197" t="s">
        <v>139</v>
      </c>
      <c r="E411" s="197" t="s">
        <v>92</v>
      </c>
      <c r="F411" s="213"/>
      <c r="G411" s="213"/>
      <c r="H411" s="213"/>
      <c r="I411" s="213"/>
      <c r="J411" s="213"/>
      <c r="K411" s="220"/>
      <c r="L411" s="220"/>
      <c r="M411" s="220"/>
      <c r="N411" s="220"/>
    </row>
    <row r="412" spans="4:14" ht="18.75">
      <c r="D412" s="197" t="s">
        <v>139</v>
      </c>
      <c r="E412" s="197" t="s">
        <v>105</v>
      </c>
      <c r="F412" s="213"/>
      <c r="G412" s="213"/>
      <c r="H412" s="213"/>
      <c r="I412" s="213"/>
      <c r="J412" s="213"/>
      <c r="K412" s="220"/>
      <c r="L412" s="220"/>
      <c r="M412" s="220"/>
      <c r="N412" s="220"/>
    </row>
    <row r="413" spans="4:14" ht="18.75">
      <c r="D413" s="197" t="s">
        <v>139</v>
      </c>
      <c r="E413" s="197" t="s">
        <v>139</v>
      </c>
      <c r="F413" s="213"/>
      <c r="G413" s="213"/>
      <c r="H413" s="213"/>
      <c r="I413" s="213"/>
      <c r="J413" s="213"/>
      <c r="K413" s="220"/>
      <c r="L413" s="220"/>
      <c r="M413" s="220"/>
      <c r="N413" s="220"/>
    </row>
    <row r="414" spans="4:14" ht="18.75">
      <c r="D414" s="214" t="s">
        <v>139</v>
      </c>
      <c r="E414" s="214" t="s">
        <v>96</v>
      </c>
      <c r="F414" s="213"/>
      <c r="G414" s="213"/>
      <c r="H414" s="213"/>
      <c r="I414" s="213"/>
      <c r="J414" s="213"/>
      <c r="K414" s="222">
        <f>SUBTOTAL(9,K410:K413)</f>
        <v>0</v>
      </c>
      <c r="L414" s="222">
        <f>SUBTOTAL(9,L410:L413)</f>
        <v>0</v>
      </c>
      <c r="M414" s="222">
        <f>SUBTOTAL(9,M410:M413)</f>
        <v>0</v>
      </c>
      <c r="N414" s="222">
        <f>SUBTOTAL(9,N410:N413)</f>
        <v>0</v>
      </c>
    </row>
    <row r="415" spans="4:14" ht="18.75">
      <c r="D415" s="197"/>
      <c r="E415" s="197"/>
      <c r="F415" s="213"/>
      <c r="G415" s="213"/>
      <c r="H415" s="213"/>
      <c r="I415" s="213"/>
      <c r="J415" s="213"/>
      <c r="K415" s="220"/>
      <c r="L415" s="220"/>
      <c r="M415" s="220"/>
      <c r="N415" s="220"/>
    </row>
    <row r="416" spans="4:14" ht="18.75">
      <c r="D416" s="197" t="s">
        <v>167</v>
      </c>
      <c r="E416" s="197" t="s">
        <v>90</v>
      </c>
      <c r="F416" s="213"/>
      <c r="G416" s="213"/>
      <c r="H416" s="213"/>
      <c r="I416" s="213"/>
      <c r="J416" s="213"/>
      <c r="K416" s="220"/>
      <c r="L416" s="220"/>
      <c r="M416" s="220"/>
      <c r="N416" s="220"/>
    </row>
    <row r="417" spans="4:14" ht="18.75">
      <c r="D417" s="197" t="s">
        <v>167</v>
      </c>
      <c r="E417" s="197" t="s">
        <v>119</v>
      </c>
      <c r="F417" s="213"/>
      <c r="G417" s="213"/>
      <c r="H417" s="213"/>
      <c r="I417" s="213"/>
      <c r="J417" s="213"/>
      <c r="K417" s="220"/>
      <c r="L417" s="220"/>
      <c r="M417" s="220"/>
      <c r="N417" s="220"/>
    </row>
    <row r="418" spans="4:14" ht="18.75">
      <c r="D418" s="197" t="s">
        <v>167</v>
      </c>
      <c r="E418" s="197" t="s">
        <v>105</v>
      </c>
      <c r="F418" s="213"/>
      <c r="G418" s="213"/>
      <c r="H418" s="213"/>
      <c r="I418" s="213"/>
      <c r="J418" s="213"/>
      <c r="K418" s="220">
        <f>K237+K331+K156</f>
        <v>103285.20000000001</v>
      </c>
      <c r="L418" s="220">
        <f>L237+L331+L156</f>
        <v>12302</v>
      </c>
      <c r="M418" s="220">
        <f>M237+M331+M156</f>
        <v>115587.20000000001</v>
      </c>
      <c r="N418" s="220">
        <f>N237+N331+N156</f>
        <v>118087.2</v>
      </c>
    </row>
    <row r="419" spans="4:14" ht="18.75">
      <c r="D419" s="197" t="s">
        <v>167</v>
      </c>
      <c r="E419" s="197" t="s">
        <v>141</v>
      </c>
      <c r="F419" s="213"/>
      <c r="G419" s="213"/>
      <c r="H419" s="213"/>
      <c r="I419" s="213"/>
      <c r="J419" s="213"/>
      <c r="K419" s="220">
        <f t="shared" ref="K419" si="120">K352</f>
        <v>6248.8</v>
      </c>
      <c r="L419" s="220">
        <f>L352</f>
        <v>0</v>
      </c>
      <c r="M419" s="220">
        <f t="shared" ref="M419:N419" si="121">M352</f>
        <v>6248.8</v>
      </c>
      <c r="N419" s="220">
        <f t="shared" si="121"/>
        <v>6248.8</v>
      </c>
    </row>
    <row r="420" spans="4:14" ht="18.75">
      <c r="D420" s="214" t="s">
        <v>167</v>
      </c>
      <c r="E420" s="214" t="s">
        <v>96</v>
      </c>
      <c r="F420" s="213"/>
      <c r="G420" s="213"/>
      <c r="H420" s="213"/>
      <c r="I420" s="213"/>
      <c r="J420" s="213"/>
      <c r="K420" s="222">
        <f>SUBTOTAL(9,K416:K419)</f>
        <v>109534.00000000001</v>
      </c>
      <c r="L420" s="222">
        <f>SUBTOTAL(9,L416:L419)</f>
        <v>12302</v>
      </c>
      <c r="M420" s="222">
        <f>SUBTOTAL(9,M416:M419)</f>
        <v>121836.00000000001</v>
      </c>
      <c r="N420" s="222">
        <f>SUBTOTAL(9,N416:N419)</f>
        <v>124336</v>
      </c>
    </row>
    <row r="421" spans="4:14" ht="18.75">
      <c r="D421" s="197"/>
      <c r="E421" s="197"/>
      <c r="F421" s="213"/>
      <c r="G421" s="213"/>
      <c r="H421" s="213"/>
      <c r="I421" s="213"/>
      <c r="J421" s="213"/>
      <c r="K421" s="220"/>
      <c r="L421" s="220"/>
      <c r="M421" s="220"/>
      <c r="N421" s="220"/>
    </row>
    <row r="422" spans="4:14" ht="18.75">
      <c r="D422" s="197" t="s">
        <v>123</v>
      </c>
      <c r="E422" s="197" t="s">
        <v>90</v>
      </c>
      <c r="F422" s="213"/>
      <c r="G422" s="213"/>
      <c r="H422" s="213"/>
      <c r="I422" s="213"/>
      <c r="J422" s="213"/>
      <c r="K422" s="220">
        <f>K281</f>
        <v>34153.930999999997</v>
      </c>
      <c r="L422" s="220">
        <f>L281</f>
        <v>41.7</v>
      </c>
      <c r="M422" s="220">
        <f>M281</f>
        <v>34195.631000000001</v>
      </c>
      <c r="N422" s="220">
        <f>N281</f>
        <v>25295.9</v>
      </c>
    </row>
    <row r="423" spans="4:14" ht="18.75">
      <c r="D423" s="197" t="s">
        <v>123</v>
      </c>
      <c r="E423" s="197" t="s">
        <v>92</v>
      </c>
      <c r="F423" s="213"/>
      <c r="G423" s="213"/>
      <c r="H423" s="213"/>
      <c r="I423" s="213"/>
      <c r="J423" s="213"/>
      <c r="K423" s="220"/>
      <c r="L423" s="220"/>
      <c r="M423" s="220"/>
      <c r="N423" s="220"/>
    </row>
    <row r="424" spans="4:14" ht="18.75">
      <c r="D424" s="197" t="s">
        <v>123</v>
      </c>
      <c r="E424" s="197" t="s">
        <v>121</v>
      </c>
      <c r="F424" s="213"/>
      <c r="G424" s="213"/>
      <c r="H424" s="213"/>
      <c r="I424" s="213"/>
      <c r="J424" s="213"/>
      <c r="K424" s="220">
        <f>K295</f>
        <v>2282.9999999999995</v>
      </c>
      <c r="L424" s="220">
        <f>L295</f>
        <v>0</v>
      </c>
      <c r="M424" s="220">
        <f>M295</f>
        <v>2282.9999999999995</v>
      </c>
      <c r="N424" s="220">
        <f>N295</f>
        <v>2262.1</v>
      </c>
    </row>
    <row r="425" spans="4:14" ht="18.75">
      <c r="D425" s="214" t="s">
        <v>123</v>
      </c>
      <c r="E425" s="214" t="s">
        <v>96</v>
      </c>
      <c r="F425" s="213"/>
      <c r="G425" s="213"/>
      <c r="H425" s="213"/>
      <c r="I425" s="213"/>
      <c r="J425" s="213"/>
      <c r="K425" s="222">
        <f>SUBTOTAL(9,K422:K424)</f>
        <v>36436.930999999997</v>
      </c>
      <c r="L425" s="222">
        <f>SUBTOTAL(9,L422:L424)</f>
        <v>41.7</v>
      </c>
      <c r="M425" s="222">
        <f>SUBTOTAL(9,M422:M424)</f>
        <v>36478.631000000001</v>
      </c>
      <c r="N425" s="222">
        <f>SUBTOTAL(9,N422:N424)</f>
        <v>27558</v>
      </c>
    </row>
    <row r="426" spans="4:14" ht="18.75">
      <c r="D426" s="197"/>
      <c r="E426" s="197"/>
      <c r="F426" s="213"/>
      <c r="G426" s="213"/>
      <c r="H426" s="213"/>
      <c r="I426" s="213"/>
      <c r="J426" s="213"/>
      <c r="K426" s="220"/>
      <c r="L426" s="220"/>
      <c r="M426" s="220"/>
      <c r="N426" s="220"/>
    </row>
    <row r="427" spans="4:14" ht="18.75">
      <c r="D427" s="197" t="s">
        <v>130</v>
      </c>
      <c r="E427" s="197" t="s">
        <v>90</v>
      </c>
      <c r="F427" s="213"/>
      <c r="G427" s="213"/>
      <c r="H427" s="213"/>
      <c r="I427" s="213"/>
      <c r="J427" s="213"/>
      <c r="K427" s="220">
        <f>K100</f>
        <v>6.2</v>
      </c>
      <c r="L427" s="220">
        <f>L100</f>
        <v>0</v>
      </c>
      <c r="M427" s="220">
        <f>M100</f>
        <v>6.2</v>
      </c>
      <c r="N427" s="220">
        <f>N100</f>
        <v>0</v>
      </c>
    </row>
    <row r="428" spans="4:14" ht="18.75">
      <c r="D428" s="214" t="s">
        <v>130</v>
      </c>
      <c r="E428" s="214" t="s">
        <v>96</v>
      </c>
      <c r="F428" s="213"/>
      <c r="G428" s="213"/>
      <c r="H428" s="213"/>
      <c r="I428" s="213"/>
      <c r="J428" s="213"/>
      <c r="K428" s="222">
        <f>K427</f>
        <v>6.2</v>
      </c>
      <c r="L428" s="222">
        <f>L427</f>
        <v>0</v>
      </c>
      <c r="M428" s="222">
        <f>M427</f>
        <v>6.2</v>
      </c>
      <c r="N428" s="222">
        <f>N427</f>
        <v>0</v>
      </c>
    </row>
    <row r="429" spans="4:14" ht="18.75">
      <c r="D429" s="197"/>
      <c r="E429" s="197"/>
      <c r="F429" s="213"/>
      <c r="G429" s="213"/>
      <c r="H429" s="213"/>
      <c r="I429" s="213"/>
      <c r="J429" s="213"/>
      <c r="K429" s="220"/>
      <c r="L429" s="220"/>
      <c r="M429" s="220"/>
      <c r="N429" s="220"/>
    </row>
    <row r="430" spans="4:14" ht="18.75">
      <c r="D430" s="197" t="s">
        <v>149</v>
      </c>
      <c r="E430" s="197" t="s">
        <v>90</v>
      </c>
      <c r="F430" s="213"/>
      <c r="G430" s="213"/>
      <c r="H430" s="213"/>
      <c r="I430" s="213"/>
      <c r="J430" s="213"/>
      <c r="K430" s="220">
        <f>K118</f>
        <v>5000</v>
      </c>
      <c r="L430" s="220">
        <f>L118</f>
        <v>0</v>
      </c>
      <c r="M430" s="220">
        <f>M118</f>
        <v>5000</v>
      </c>
      <c r="N430" s="220">
        <f>N118</f>
        <v>5000</v>
      </c>
    </row>
    <row r="431" spans="4:14" ht="18.75">
      <c r="D431" s="214" t="s">
        <v>149</v>
      </c>
      <c r="E431" s="214" t="s">
        <v>96</v>
      </c>
      <c r="F431" s="213"/>
      <c r="G431" s="213"/>
      <c r="H431" s="213"/>
      <c r="I431" s="213"/>
      <c r="J431" s="213"/>
      <c r="K431" s="222">
        <f>SUBTOTAL(9,K430:K430)</f>
        <v>5000</v>
      </c>
      <c r="L431" s="222">
        <f>SUBTOTAL(9,L430:L430)</f>
        <v>0</v>
      </c>
      <c r="M431" s="222">
        <f>SUBTOTAL(9,M430:M430)</f>
        <v>5000</v>
      </c>
      <c r="N431" s="222">
        <f>SUBTOTAL(9,N430:N430)</f>
        <v>5000</v>
      </c>
    </row>
    <row r="432" spans="4:14" ht="18.75">
      <c r="D432" s="197"/>
      <c r="E432" s="197"/>
      <c r="F432" s="213"/>
      <c r="G432" s="213"/>
      <c r="H432" s="213"/>
      <c r="I432" s="213"/>
      <c r="J432" s="213"/>
      <c r="K432" s="220"/>
      <c r="L432" s="220"/>
      <c r="M432" s="220"/>
      <c r="N432" s="220"/>
    </row>
    <row r="433" spans="2:14" ht="18.75">
      <c r="D433" s="700" t="s">
        <v>548</v>
      </c>
      <c r="E433" s="197"/>
      <c r="F433" s="213"/>
      <c r="G433" s="213"/>
      <c r="H433" s="213"/>
      <c r="I433" s="213"/>
      <c r="J433" s="213"/>
      <c r="K433" s="220">
        <f>K366</f>
        <v>20561.769</v>
      </c>
      <c r="L433" s="220">
        <f>L366</f>
        <v>22414.6</v>
      </c>
      <c r="M433" s="220">
        <f>M366</f>
        <v>42976.368999999999</v>
      </c>
      <c r="N433" s="220">
        <f>N366</f>
        <v>41909.800000000003</v>
      </c>
    </row>
    <row r="434" spans="2:14" ht="18.75">
      <c r="D434" s="197"/>
      <c r="E434" s="197"/>
      <c r="F434" s="213"/>
      <c r="G434" s="213"/>
      <c r="H434" s="213"/>
      <c r="I434" s="213"/>
      <c r="J434" s="213"/>
      <c r="K434" s="220"/>
      <c r="L434" s="220"/>
      <c r="M434" s="220"/>
      <c r="N434" s="220"/>
    </row>
    <row r="435" spans="2:14" ht="18.75">
      <c r="D435" s="197"/>
      <c r="E435" s="197"/>
      <c r="F435" s="213"/>
      <c r="G435" s="213"/>
      <c r="H435" s="213"/>
      <c r="I435" s="213"/>
      <c r="J435" s="213"/>
      <c r="K435" s="222">
        <f>K431+K425+K420+K414+K408+K404+K396+K391+K386+K382+K433+K428</f>
        <v>1227850.1999999997</v>
      </c>
      <c r="L435" s="222">
        <f>L431+L425+L420+L414+L408+L404+L396+L391+L386+L382+L433+L428</f>
        <v>34802</v>
      </c>
      <c r="M435" s="222">
        <f>M431+M425+M420+M414+M408+M404+M396+M391+M386+M382+M433+M428</f>
        <v>1262652.1999999995</v>
      </c>
      <c r="N435" s="222">
        <f>N431+N425+N420+N414+N408+N404+N396+N391+N386+N382+N433+N428</f>
        <v>1229700.7</v>
      </c>
    </row>
    <row r="436" spans="2:14" ht="18.75">
      <c r="D436" s="197"/>
      <c r="E436" s="197"/>
      <c r="F436" s="213"/>
      <c r="G436" s="213"/>
      <c r="H436" s="213"/>
      <c r="I436" s="213"/>
      <c r="J436" s="213"/>
      <c r="K436" s="220">
        <f>K435-K15</f>
        <v>0</v>
      </c>
      <c r="L436" s="220">
        <f>L435-L15</f>
        <v>0</v>
      </c>
      <c r="M436" s="220">
        <f>M435-M15</f>
        <v>0</v>
      </c>
      <c r="N436" s="220">
        <f>N435-N15</f>
        <v>0</v>
      </c>
    </row>
    <row r="437" spans="2:14" ht="18.75">
      <c r="B437" s="130" t="s">
        <v>562</v>
      </c>
      <c r="D437" s="197"/>
      <c r="E437" s="197"/>
      <c r="F437" s="213"/>
      <c r="G437" s="213"/>
      <c r="H437" s="213"/>
      <c r="I437" s="213"/>
      <c r="J437" s="213"/>
      <c r="K437" s="220">
        <f>K425+K420+K414+K408+K404-K352-K317-K299-K273-K226</f>
        <v>1038651.3309999999</v>
      </c>
      <c r="L437" s="220">
        <f>L425+L420+L414+L408+L404-L352-L317-L299-L273-L226</f>
        <v>12348.400000000001</v>
      </c>
      <c r="M437" s="220">
        <f>M425+M420+M414+M408+M404-M352-M317-M299-M273-M226</f>
        <v>1050999.7309999999</v>
      </c>
      <c r="N437" s="220">
        <f>N425+N420+N414+N408+N404-N352-N317-N299-N273-N226</f>
        <v>1021456.3999999999</v>
      </c>
    </row>
    <row r="438" spans="2:14" ht="18.75">
      <c r="B438" s="130" t="s">
        <v>561</v>
      </c>
      <c r="D438" s="197"/>
      <c r="E438" s="197"/>
      <c r="F438" s="213"/>
      <c r="G438" s="213"/>
      <c r="H438" s="213"/>
      <c r="I438" s="213"/>
      <c r="J438" s="213"/>
      <c r="K438" s="220">
        <f>K226+K273+K299+K317+K352</f>
        <v>21635.599999999999</v>
      </c>
      <c r="L438" s="220">
        <f>L226+L273+L299+L317+L352</f>
        <v>0</v>
      </c>
      <c r="M438" s="220">
        <f>M226+M273+M299+M317+M352</f>
        <v>21635.599999999999</v>
      </c>
      <c r="N438" s="220">
        <f>N226+N273+N299+N317+N352</f>
        <v>21324.100000000002</v>
      </c>
    </row>
    <row r="439" spans="2:14" ht="18.75">
      <c r="D439" s="197"/>
      <c r="E439" s="197"/>
      <c r="F439" s="213"/>
      <c r="G439" s="213"/>
      <c r="H439" s="213"/>
      <c r="I439" s="213"/>
      <c r="J439" s="213"/>
      <c r="K439" s="701"/>
      <c r="L439" s="701"/>
      <c r="M439" s="701"/>
      <c r="N439" s="701"/>
    </row>
    <row r="440" spans="2:14" ht="18.75">
      <c r="D440" s="197"/>
      <c r="E440" s="197"/>
      <c r="F440" s="213"/>
      <c r="G440" s="213"/>
      <c r="H440" s="213"/>
      <c r="I440" s="213"/>
      <c r="J440" s="213"/>
      <c r="K440" s="701"/>
      <c r="L440" s="701"/>
      <c r="M440" s="701"/>
      <c r="N440" s="701"/>
    </row>
    <row r="441" spans="2:14">
      <c r="L441" s="677"/>
    </row>
    <row r="442" spans="2:14">
      <c r="K442" s="215">
        <f>(K437/K435)*100</f>
        <v>84.591046285613686</v>
      </c>
      <c r="L442" s="215">
        <f>(L437/L435)*100</f>
        <v>35.481868858111611</v>
      </c>
      <c r="M442" s="215">
        <f>(M437/M435)*100</f>
        <v>83.237468797820995</v>
      </c>
      <c r="N442" s="215">
        <f>(N437/N435)*100</f>
        <v>83.065448364793156</v>
      </c>
    </row>
    <row r="443" spans="2:14">
      <c r="L443" s="677"/>
    </row>
  </sheetData>
  <autoFilter ref="A1:N443"/>
  <mergeCells count="12">
    <mergeCell ref="K12:K13"/>
    <mergeCell ref="F12:I13"/>
    <mergeCell ref="J12:J13"/>
    <mergeCell ref="F14:I14"/>
    <mergeCell ref="A8:N8"/>
    <mergeCell ref="A12:A13"/>
    <mergeCell ref="B12:B13"/>
    <mergeCell ref="C12:C13"/>
    <mergeCell ref="D12:D13"/>
    <mergeCell ref="E12:E13"/>
    <mergeCell ref="N12:N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2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FF00"/>
    <pageSetUpPr fitToPage="1"/>
  </sheetPr>
  <dimension ref="A1:H34"/>
  <sheetViews>
    <sheetView topLeftCell="A19" zoomScale="90" zoomScaleNormal="90" workbookViewId="0">
      <selection activeCell="F24" sqref="F24"/>
    </sheetView>
  </sheetViews>
  <sheetFormatPr defaultColWidth="9.140625" defaultRowHeight="12.75"/>
  <cols>
    <col min="1" max="1" width="33.28515625" style="35" customWidth="1"/>
    <col min="2" max="2" width="66.42578125" style="35" customWidth="1"/>
    <col min="3" max="3" width="20" style="35" customWidth="1"/>
    <col min="4" max="4" width="9.140625" style="35"/>
    <col min="5" max="5" width="17.7109375" style="35" customWidth="1"/>
    <col min="6" max="6" width="19.85546875" style="35" customWidth="1"/>
    <col min="7" max="7" width="10.85546875" style="35" bestFit="1" customWidth="1"/>
    <col min="8" max="16384" width="9.140625" style="35"/>
  </cols>
  <sheetData>
    <row r="1" spans="1:6" s="80" customFormat="1" ht="18.75">
      <c r="C1" s="1" t="s">
        <v>750</v>
      </c>
    </row>
    <row r="2" spans="1:6" s="80" customFormat="1" ht="18.75">
      <c r="C2" s="1" t="s">
        <v>0</v>
      </c>
    </row>
    <row r="5" spans="1:6" ht="18.75">
      <c r="C5" s="1" t="s">
        <v>755</v>
      </c>
    </row>
    <row r="6" spans="1:6" ht="18.75">
      <c r="C6" s="1" t="s">
        <v>817</v>
      </c>
    </row>
    <row r="7" spans="1:6" ht="17.45" customHeight="1">
      <c r="A7" s="10"/>
      <c r="B7" s="10"/>
      <c r="C7" s="10"/>
    </row>
    <row r="8" spans="1:6" s="80" customFormat="1" ht="18" customHeight="1">
      <c r="C8" s="1"/>
    </row>
    <row r="9" spans="1:6" s="80" customFormat="1" ht="36" customHeight="1">
      <c r="A9" s="968" t="s">
        <v>756</v>
      </c>
      <c r="B9" s="969"/>
      <c r="C9" s="969"/>
    </row>
    <row r="10" spans="1:6" ht="18.75">
      <c r="A10" s="10"/>
      <c r="B10" s="10"/>
      <c r="C10" s="10"/>
      <c r="E10" s="107"/>
      <c r="F10" s="71"/>
    </row>
    <row r="11" spans="1:6" ht="18.75">
      <c r="A11" s="10"/>
      <c r="B11" s="10"/>
      <c r="C11" s="37" t="s">
        <v>319</v>
      </c>
    </row>
    <row r="12" spans="1:6" ht="58.9" customHeight="1">
      <c r="A12" s="230" t="s">
        <v>64</v>
      </c>
      <c r="B12" s="47" t="s">
        <v>556</v>
      </c>
      <c r="C12" s="47" t="s">
        <v>66</v>
      </c>
      <c r="E12" s="72"/>
      <c r="F12" s="72"/>
    </row>
    <row r="13" spans="1:6" ht="18" customHeight="1">
      <c r="A13" s="76">
        <v>1</v>
      </c>
      <c r="B13" s="77">
        <v>2</v>
      </c>
      <c r="C13" s="78">
        <v>3</v>
      </c>
      <c r="E13" s="72"/>
      <c r="F13" s="72"/>
    </row>
    <row r="14" spans="1:6" ht="37.15" customHeight="1">
      <c r="A14" s="81" t="s">
        <v>320</v>
      </c>
      <c r="B14" s="237" t="s">
        <v>321</v>
      </c>
      <c r="C14" s="227">
        <f>C21+C15</f>
        <v>39365.40084999986</v>
      </c>
      <c r="E14" s="92"/>
      <c r="F14" s="39"/>
    </row>
    <row r="15" spans="1:6" s="125" customFormat="1" ht="37.5">
      <c r="A15" s="82" t="s">
        <v>620</v>
      </c>
      <c r="B15" s="238" t="s">
        <v>621</v>
      </c>
      <c r="C15" s="91">
        <f>C16</f>
        <v>14700</v>
      </c>
      <c r="E15" s="126"/>
      <c r="F15" s="127"/>
    </row>
    <row r="16" spans="1:6" s="125" customFormat="1" ht="56.25">
      <c r="A16" s="83" t="s">
        <v>622</v>
      </c>
      <c r="B16" s="239" t="s">
        <v>623</v>
      </c>
      <c r="C16" s="129">
        <f>C17-C19</f>
        <v>14700</v>
      </c>
      <c r="E16" s="126"/>
      <c r="F16" s="127"/>
    </row>
    <row r="17" spans="1:8" s="125" customFormat="1" ht="56.25">
      <c r="A17" s="83" t="s">
        <v>624</v>
      </c>
      <c r="B17" s="239" t="s">
        <v>625</v>
      </c>
      <c r="C17" s="129">
        <f>C18</f>
        <v>14700</v>
      </c>
      <c r="E17" s="126"/>
      <c r="F17" s="127"/>
    </row>
    <row r="18" spans="1:8" s="125" customFormat="1" ht="75">
      <c r="A18" s="827" t="s">
        <v>626</v>
      </c>
      <c r="B18" s="828" t="s">
        <v>25</v>
      </c>
      <c r="C18" s="829">
        <f>6240+1560+14700-7800</f>
        <v>14700</v>
      </c>
      <c r="E18" s="126"/>
      <c r="F18" s="127"/>
    </row>
    <row r="19" spans="1:8" s="125" customFormat="1" ht="56.25">
      <c r="A19" s="827" t="s">
        <v>627</v>
      </c>
      <c r="B19" s="828" t="s">
        <v>628</v>
      </c>
      <c r="C19" s="829">
        <v>0</v>
      </c>
      <c r="E19" s="126"/>
      <c r="F19" s="127"/>
    </row>
    <row r="20" spans="1:8" s="125" customFormat="1" ht="75">
      <c r="A20" s="827" t="s">
        <v>629</v>
      </c>
      <c r="B20" s="828" t="s">
        <v>27</v>
      </c>
      <c r="C20" s="829">
        <v>0</v>
      </c>
      <c r="E20" s="126"/>
      <c r="F20" s="127"/>
    </row>
    <row r="21" spans="1:8" s="40" customFormat="1" ht="34.9" customHeight="1">
      <c r="A21" s="82" t="s">
        <v>322</v>
      </c>
      <c r="B21" s="240" t="s">
        <v>323</v>
      </c>
      <c r="C21" s="91">
        <f>C26-C22</f>
        <v>24665.40084999986</v>
      </c>
      <c r="F21" s="41"/>
      <c r="G21" s="42"/>
    </row>
    <row r="22" spans="1:8" s="36" customFormat="1" ht="18.75">
      <c r="A22" s="83" t="s">
        <v>324</v>
      </c>
      <c r="B22" s="225" t="s">
        <v>325</v>
      </c>
      <c r="C22" s="108">
        <f>C23</f>
        <v>1407007.6433899999</v>
      </c>
    </row>
    <row r="23" spans="1:8" s="36" customFormat="1" ht="18.75">
      <c r="A23" s="83" t="s">
        <v>326</v>
      </c>
      <c r="B23" s="225" t="s">
        <v>327</v>
      </c>
      <c r="C23" s="108">
        <f>C24</f>
        <v>1407007.6433899999</v>
      </c>
    </row>
    <row r="24" spans="1:8" s="36" customFormat="1" ht="37.5">
      <c r="A24" s="83" t="s">
        <v>467</v>
      </c>
      <c r="B24" s="225" t="s">
        <v>328</v>
      </c>
      <c r="C24" s="108">
        <f>C25</f>
        <v>1407007.6433899999</v>
      </c>
    </row>
    <row r="25" spans="1:8" s="36" customFormat="1" ht="37.5" customHeight="1">
      <c r="A25" s="83" t="s">
        <v>329</v>
      </c>
      <c r="B25" s="225" t="s">
        <v>32</v>
      </c>
      <c r="C25" s="226">
        <f>'прил. 2 (поступл.19)'!C39+C18+'прил. 2 (поступл.19)'!C38-0.02</f>
        <v>1407007.6433899999</v>
      </c>
      <c r="D25" s="842">
        <v>-0.02</v>
      </c>
    </row>
    <row r="26" spans="1:8" s="36" customFormat="1" ht="18.75">
      <c r="A26" s="83" t="s">
        <v>330</v>
      </c>
      <c r="B26" s="225" t="s">
        <v>331</v>
      </c>
      <c r="C26" s="226">
        <f>C27</f>
        <v>1431673.0442399997</v>
      </c>
    </row>
    <row r="27" spans="1:8" s="36" customFormat="1" ht="18.75">
      <c r="A27" s="83" t="s">
        <v>332</v>
      </c>
      <c r="B27" s="225" t="s">
        <v>333</v>
      </c>
      <c r="C27" s="226">
        <f>C28</f>
        <v>1431673.0442399997</v>
      </c>
    </row>
    <row r="28" spans="1:8" s="36" customFormat="1" ht="22.15" customHeight="1">
      <c r="A28" s="83" t="s">
        <v>334</v>
      </c>
      <c r="B28" s="225" t="s">
        <v>335</v>
      </c>
      <c r="C28" s="226">
        <f>C29</f>
        <v>1431673.0442399997</v>
      </c>
    </row>
    <row r="29" spans="1:8" s="36" customFormat="1" ht="37.5">
      <c r="A29" s="87" t="s">
        <v>336</v>
      </c>
      <c r="B29" s="241" t="s">
        <v>34</v>
      </c>
      <c r="C29" s="242">
        <f>'прил12(ведом 19)'!M13+C20+'прил. 2 (поступл.19)'!C38</f>
        <v>1431673.0442399997</v>
      </c>
    </row>
    <row r="30" spans="1:8" s="36" customFormat="1" ht="18.75">
      <c r="A30" s="88"/>
      <c r="B30" s="89"/>
      <c r="C30" s="90"/>
    </row>
    <row r="31" spans="1:8" s="36" customFormat="1" ht="18.75">
      <c r="A31" s="88"/>
      <c r="B31" s="89"/>
      <c r="C31" s="90"/>
    </row>
    <row r="32" spans="1:8" s="29" customFormat="1" ht="18.75">
      <c r="A32" s="96" t="s">
        <v>588</v>
      </c>
      <c r="B32" s="31"/>
      <c r="C32" s="32"/>
      <c r="D32" s="32"/>
      <c r="E32" s="32"/>
      <c r="F32" s="33"/>
      <c r="G32" s="34"/>
      <c r="H32" s="30"/>
    </row>
    <row r="33" spans="1:8" s="29" customFormat="1" ht="18.75">
      <c r="A33" s="96" t="s">
        <v>589</v>
      </c>
      <c r="B33" s="31"/>
      <c r="C33" s="32"/>
      <c r="D33" s="32"/>
      <c r="E33" s="32"/>
      <c r="F33" s="33"/>
      <c r="G33" s="34"/>
      <c r="H33" s="30"/>
    </row>
    <row r="34" spans="1:8" s="29" customFormat="1" ht="18.75">
      <c r="A34" s="97" t="s">
        <v>590</v>
      </c>
      <c r="B34" s="31"/>
      <c r="C34" s="28" t="s">
        <v>641</v>
      </c>
      <c r="D34" s="32"/>
      <c r="E34" s="32"/>
      <c r="F34" s="33"/>
    </row>
  </sheetData>
  <mergeCells count="1">
    <mergeCell ref="A9:C9"/>
  </mergeCells>
  <printOptions horizontalCentered="1"/>
  <pageMargins left="1.1811023622047245" right="0.39370078740157483" top="0.62992125984251968" bottom="0.19685039370078741" header="0" footer="0"/>
  <pageSetup paperSize="9" scale="7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FFFF00"/>
    <pageSetUpPr fitToPage="1"/>
  </sheetPr>
  <dimension ref="A1:G31"/>
  <sheetViews>
    <sheetView zoomScale="90" zoomScaleNormal="90" workbookViewId="0">
      <selection activeCell="F26" sqref="F26"/>
    </sheetView>
  </sheetViews>
  <sheetFormatPr defaultColWidth="9.140625" defaultRowHeight="12.75"/>
  <cols>
    <col min="1" max="1" width="33.28515625" style="35" customWidth="1"/>
    <col min="2" max="2" width="52.140625" style="35" customWidth="1"/>
    <col min="3" max="3" width="15.140625" style="35" customWidth="1"/>
    <col min="4" max="4" width="15" style="35" customWidth="1"/>
    <col min="5" max="5" width="17.7109375" style="35" customWidth="1"/>
    <col min="6" max="6" width="19.85546875" style="35" customWidth="1"/>
    <col min="7" max="7" width="10.85546875" style="35" bestFit="1" customWidth="1"/>
    <col min="8" max="16384" width="9.140625" style="35"/>
  </cols>
  <sheetData>
    <row r="1" spans="1:6" ht="18.75">
      <c r="D1" s="1" t="s">
        <v>753</v>
      </c>
    </row>
    <row r="2" spans="1:6" ht="18.75">
      <c r="D2" s="1" t="s">
        <v>0</v>
      </c>
    </row>
    <row r="3" spans="1:6" ht="11.25" customHeight="1">
      <c r="D3" s="1"/>
    </row>
    <row r="4" spans="1:6" ht="18.75">
      <c r="D4" s="1" t="s">
        <v>757</v>
      </c>
    </row>
    <row r="5" spans="1:6" ht="18.75">
      <c r="D5" s="1" t="s">
        <v>817</v>
      </c>
    </row>
    <row r="6" spans="1:6" ht="12.75" customHeight="1">
      <c r="A6" s="10"/>
      <c r="B6" s="10"/>
      <c r="C6" s="10"/>
    </row>
    <row r="7" spans="1:6" s="80" customFormat="1" ht="45" customHeight="1">
      <c r="A7" s="968" t="s">
        <v>758</v>
      </c>
      <c r="B7" s="968"/>
      <c r="C7" s="968"/>
      <c r="D7" s="968"/>
    </row>
    <row r="8" spans="1:6" ht="12" customHeight="1">
      <c r="A8" s="10"/>
      <c r="B8" s="10"/>
      <c r="C8" s="10"/>
      <c r="E8" s="107"/>
      <c r="F8" s="71"/>
    </row>
    <row r="9" spans="1:6" ht="18.75">
      <c r="A9" s="10"/>
      <c r="B9" s="10"/>
      <c r="D9" s="37" t="s">
        <v>319</v>
      </c>
    </row>
    <row r="10" spans="1:6" ht="16.149999999999999" customHeight="1">
      <c r="A10" s="972" t="s">
        <v>64</v>
      </c>
      <c r="B10" s="972" t="s">
        <v>556</v>
      </c>
      <c r="C10" s="970" t="s">
        <v>66</v>
      </c>
      <c r="D10" s="971"/>
    </row>
    <row r="11" spans="1:6" ht="60" customHeight="1">
      <c r="A11" s="972"/>
      <c r="B11" s="972"/>
      <c r="C11" s="48" t="s">
        <v>591</v>
      </c>
      <c r="D11" s="48" t="s">
        <v>716</v>
      </c>
      <c r="E11" s="72"/>
      <c r="F11" s="72"/>
    </row>
    <row r="12" spans="1:6" ht="18" customHeight="1">
      <c r="A12" s="76">
        <v>1</v>
      </c>
      <c r="B12" s="77">
        <v>2</v>
      </c>
      <c r="C12" s="78">
        <v>3</v>
      </c>
      <c r="D12" s="78">
        <v>4</v>
      </c>
      <c r="E12" s="72"/>
      <c r="F12" s="72"/>
    </row>
    <row r="13" spans="1:6" ht="56.25">
      <c r="A13" s="81" t="s">
        <v>320</v>
      </c>
      <c r="B13" s="93" t="s">
        <v>321</v>
      </c>
      <c r="C13" s="502">
        <f>C18+C14</f>
        <v>0</v>
      </c>
      <c r="D13" s="502">
        <f>D18+D14</f>
        <v>-6816</v>
      </c>
      <c r="E13" s="38"/>
      <c r="F13" s="39"/>
    </row>
    <row r="14" spans="1:6" ht="56.25">
      <c r="A14" s="82" t="s">
        <v>620</v>
      </c>
      <c r="B14" s="124" t="s">
        <v>621</v>
      </c>
      <c r="C14" s="502">
        <f>C15</f>
        <v>0</v>
      </c>
      <c r="D14" s="503">
        <f>D15</f>
        <v>-6816</v>
      </c>
      <c r="E14" s="38"/>
      <c r="F14" s="39"/>
    </row>
    <row r="15" spans="1:6" ht="61.5" customHeight="1">
      <c r="A15" s="83" t="s">
        <v>622</v>
      </c>
      <c r="B15" s="128" t="s">
        <v>623</v>
      </c>
      <c r="C15" s="504">
        <f>-C16</f>
        <v>0</v>
      </c>
      <c r="D15" s="503">
        <v>-6816</v>
      </c>
      <c r="E15" s="38"/>
      <c r="F15" s="39"/>
    </row>
    <row r="16" spans="1:6" ht="80.25" customHeight="1">
      <c r="A16" s="83" t="s">
        <v>627</v>
      </c>
      <c r="B16" s="128" t="s">
        <v>628</v>
      </c>
      <c r="C16" s="505">
        <f>C17</f>
        <v>0</v>
      </c>
      <c r="D16" s="506">
        <v>6816</v>
      </c>
      <c r="E16" s="38"/>
      <c r="F16" s="39"/>
    </row>
    <row r="17" spans="1:7" ht="84" customHeight="1">
      <c r="A17" s="83" t="s">
        <v>629</v>
      </c>
      <c r="B17" s="128" t="s">
        <v>27</v>
      </c>
      <c r="C17" s="505"/>
      <c r="D17" s="505">
        <v>6816</v>
      </c>
      <c r="E17" s="38"/>
      <c r="F17" s="39"/>
    </row>
    <row r="18" spans="1:7" s="40" customFormat="1" ht="37.5">
      <c r="A18" s="82" t="s">
        <v>322</v>
      </c>
      <c r="B18" s="94" t="s">
        <v>323</v>
      </c>
      <c r="C18" s="507">
        <f>C23-C19</f>
        <v>0</v>
      </c>
      <c r="D18" s="503">
        <f>D23-D19</f>
        <v>0</v>
      </c>
      <c r="F18" s="41"/>
      <c r="G18" s="42"/>
    </row>
    <row r="19" spans="1:7" s="36" customFormat="1" ht="18.75">
      <c r="A19" s="83" t="s">
        <v>324</v>
      </c>
      <c r="B19" s="95" t="s">
        <v>325</v>
      </c>
      <c r="C19" s="508">
        <f t="shared" ref="C19:D21" si="0">C20</f>
        <v>1262652.1999999997</v>
      </c>
      <c r="D19" s="509">
        <f t="shared" si="0"/>
        <v>1236516.6999999997</v>
      </c>
    </row>
    <row r="20" spans="1:7" s="36" customFormat="1" ht="37.5">
      <c r="A20" s="83" t="s">
        <v>326</v>
      </c>
      <c r="B20" s="95" t="s">
        <v>327</v>
      </c>
      <c r="C20" s="508">
        <f t="shared" si="0"/>
        <v>1262652.1999999997</v>
      </c>
      <c r="D20" s="509">
        <f t="shared" si="0"/>
        <v>1236516.6999999997</v>
      </c>
    </row>
    <row r="21" spans="1:7" s="36" customFormat="1" ht="37.5">
      <c r="A21" s="83" t="s">
        <v>467</v>
      </c>
      <c r="B21" s="95" t="s">
        <v>328</v>
      </c>
      <c r="C21" s="508">
        <f t="shared" si="0"/>
        <v>1262652.1999999997</v>
      </c>
      <c r="D21" s="509">
        <f t="shared" si="0"/>
        <v>1236516.6999999997</v>
      </c>
    </row>
    <row r="22" spans="1:7" s="36" customFormat="1" ht="40.5" customHeight="1">
      <c r="A22" s="83" t="s">
        <v>329</v>
      </c>
      <c r="B22" s="128" t="s">
        <v>32</v>
      </c>
      <c r="C22" s="508">
        <f>'прил. 3 (поступл. 20-21)'!C37</f>
        <v>1262652.1999999997</v>
      </c>
      <c r="D22" s="509">
        <f>'прил. 3 (поступл. 20-21)'!D37</f>
        <v>1236516.6999999997</v>
      </c>
    </row>
    <row r="23" spans="1:7" s="36" customFormat="1" ht="18.75">
      <c r="A23" s="83" t="s">
        <v>330</v>
      </c>
      <c r="B23" s="128" t="s">
        <v>331</v>
      </c>
      <c r="C23" s="508">
        <f t="shared" ref="C23:D25" si="1">C24</f>
        <v>1262652.1999999997</v>
      </c>
      <c r="D23" s="508">
        <f t="shared" si="1"/>
        <v>1236516.7</v>
      </c>
    </row>
    <row r="24" spans="1:7" s="36" customFormat="1" ht="37.5">
      <c r="A24" s="83" t="s">
        <v>332</v>
      </c>
      <c r="B24" s="128" t="s">
        <v>333</v>
      </c>
      <c r="C24" s="508">
        <f t="shared" si="1"/>
        <v>1262652.1999999997</v>
      </c>
      <c r="D24" s="509">
        <f t="shared" si="1"/>
        <v>1236516.7</v>
      </c>
    </row>
    <row r="25" spans="1:7" s="36" customFormat="1" ht="37.5">
      <c r="A25" s="83" t="s">
        <v>334</v>
      </c>
      <c r="B25" s="128" t="s">
        <v>335</v>
      </c>
      <c r="C25" s="508">
        <f t="shared" si="1"/>
        <v>1262652.1999999997</v>
      </c>
      <c r="D25" s="509">
        <f t="shared" si="1"/>
        <v>1236516.7</v>
      </c>
    </row>
    <row r="26" spans="1:7" s="36" customFormat="1" ht="43.5" customHeight="1">
      <c r="A26" s="87" t="s">
        <v>336</v>
      </c>
      <c r="B26" s="501" t="s">
        <v>34</v>
      </c>
      <c r="C26" s="510">
        <f>'прил13(ведом 20-21)'!M15+C17</f>
        <v>1262652.1999999997</v>
      </c>
      <c r="D26" s="510">
        <f>'прил13(ведом 20-21)'!N15+D17</f>
        <v>1236516.7</v>
      </c>
    </row>
    <row r="27" spans="1:7" s="36" customFormat="1" ht="20.25" customHeight="1">
      <c r="A27" s="88"/>
      <c r="B27" s="511"/>
      <c r="C27" s="512"/>
      <c r="D27" s="512"/>
    </row>
    <row r="28" spans="1:7" ht="18.75">
      <c r="A28" s="10"/>
      <c r="B28" s="10"/>
      <c r="C28" s="10"/>
    </row>
    <row r="29" spans="1:7" s="75" customFormat="1" ht="18.75">
      <c r="A29" s="96" t="s">
        <v>588</v>
      </c>
      <c r="B29" s="31"/>
      <c r="C29" s="32"/>
    </row>
    <row r="30" spans="1:7" s="75" customFormat="1" ht="18.75">
      <c r="A30" s="96" t="s">
        <v>589</v>
      </c>
      <c r="B30" s="31"/>
      <c r="C30" s="32"/>
    </row>
    <row r="31" spans="1:7" s="75" customFormat="1" ht="18.75">
      <c r="A31" s="97" t="s">
        <v>590</v>
      </c>
      <c r="B31" s="31"/>
      <c r="D31" s="28" t="s">
        <v>641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78740157480314965" header="0" footer="0"/>
  <pageSetup paperSize="9" scale="73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1" tint="0.499984740745262"/>
  </sheetPr>
  <dimension ref="A1:H20"/>
  <sheetViews>
    <sheetView zoomScale="90" zoomScaleNormal="90" workbookViewId="0">
      <selection activeCell="J11" sqref="J11"/>
    </sheetView>
  </sheetViews>
  <sheetFormatPr defaultColWidth="8.85546875" defaultRowHeight="18.75"/>
  <cols>
    <col min="1" max="1" width="74.28515625" style="234" customWidth="1"/>
    <col min="2" max="2" width="17.28515625" style="234" customWidth="1"/>
    <col min="3" max="16384" width="8.85546875" style="234"/>
  </cols>
  <sheetData>
    <row r="1" spans="1:3">
      <c r="B1" s="244" t="s">
        <v>639</v>
      </c>
    </row>
    <row r="2" spans="1:3">
      <c r="B2" s="244" t="s">
        <v>0</v>
      </c>
    </row>
    <row r="4" spans="1:3">
      <c r="B4" s="244" t="s">
        <v>759</v>
      </c>
    </row>
    <row r="5" spans="1:3">
      <c r="B5" s="244" t="s">
        <v>817</v>
      </c>
    </row>
    <row r="8" spans="1:3" ht="54.75" customHeight="1">
      <c r="A8" s="898" t="s">
        <v>760</v>
      </c>
      <c r="B8" s="898"/>
      <c r="C8" s="702"/>
    </row>
    <row r="9" spans="1:3" ht="16.899999999999999" customHeight="1">
      <c r="A9" s="546"/>
      <c r="B9" s="546"/>
      <c r="C9" s="702"/>
    </row>
    <row r="10" spans="1:3">
      <c r="B10" s="244" t="s">
        <v>75</v>
      </c>
    </row>
    <row r="11" spans="1:3" ht="31.9" customHeight="1">
      <c r="A11" s="299" t="s">
        <v>362</v>
      </c>
      <c r="B11" s="299" t="s">
        <v>66</v>
      </c>
    </row>
    <row r="12" spans="1:3">
      <c r="A12" s="301">
        <v>1</v>
      </c>
      <c r="B12" s="301">
        <v>2</v>
      </c>
    </row>
    <row r="13" spans="1:3" ht="22.9" customHeight="1">
      <c r="A13" s="703" t="s">
        <v>445</v>
      </c>
      <c r="B13" s="704">
        <f>SUM(B14:B15)</f>
        <v>13118.6</v>
      </c>
    </row>
    <row r="14" spans="1:3">
      <c r="A14" s="213" t="s">
        <v>363</v>
      </c>
      <c r="B14" s="224">
        <f>'прил12(ведом 19)'!M231</f>
        <v>5000</v>
      </c>
    </row>
    <row r="15" spans="1:3">
      <c r="A15" s="705" t="s">
        <v>480</v>
      </c>
      <c r="B15" s="224">
        <f>'прил12(ведом 19)'!M85+'прил12(ведом 19)'!M87+'прил12(ведом 19)'!M97+'прил12(ведом 19)'!M159+'прил12(ведом 19)'!M172+'прил12(ведом 19)'!M232</f>
        <v>8118.6</v>
      </c>
    </row>
    <row r="18" spans="1:8" s="211" customFormat="1">
      <c r="A18" s="205" t="s">
        <v>588</v>
      </c>
      <c r="B18" s="206"/>
      <c r="C18" s="207"/>
      <c r="D18" s="207"/>
      <c r="E18" s="207"/>
      <c r="F18" s="208"/>
      <c r="G18" s="209"/>
      <c r="H18" s="210"/>
    </row>
    <row r="19" spans="1:8" s="211" customFormat="1">
      <c r="A19" s="205" t="s">
        <v>589</v>
      </c>
      <c r="B19" s="206"/>
      <c r="C19" s="207"/>
      <c r="D19" s="207"/>
      <c r="E19" s="207"/>
      <c r="F19" s="208"/>
      <c r="G19" s="209"/>
      <c r="H19" s="210"/>
    </row>
    <row r="20" spans="1:8" s="211" customFormat="1">
      <c r="A20" s="212" t="s">
        <v>590</v>
      </c>
      <c r="B20" s="262" t="s">
        <v>641</v>
      </c>
      <c r="D20" s="207"/>
      <c r="E20" s="207"/>
      <c r="F20" s="208"/>
    </row>
  </sheetData>
  <mergeCells count="1">
    <mergeCell ref="A8:B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0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theme="0" tint="-0.499984740745262"/>
    <pageSetUpPr fitToPage="1"/>
  </sheetPr>
  <dimension ref="A1:H18"/>
  <sheetViews>
    <sheetView workbookViewId="0">
      <selection activeCell="F12" sqref="F12"/>
    </sheetView>
  </sheetViews>
  <sheetFormatPr defaultColWidth="8.85546875" defaultRowHeight="18.75"/>
  <cols>
    <col min="1" max="1" width="73.7109375" style="59" customWidth="1"/>
    <col min="2" max="2" width="14.85546875" style="59" customWidth="1"/>
    <col min="3" max="3" width="14.28515625" style="59" customWidth="1"/>
    <col min="4" max="16384" width="8.85546875" style="59"/>
  </cols>
  <sheetData>
    <row r="1" spans="1:8">
      <c r="C1" s="44" t="s">
        <v>519</v>
      </c>
    </row>
    <row r="2" spans="1:8">
      <c r="C2" s="45" t="s">
        <v>0</v>
      </c>
    </row>
    <row r="5" spans="1:8" ht="42.6" customHeight="1">
      <c r="A5" s="973" t="s">
        <v>761</v>
      </c>
      <c r="B5" s="973"/>
      <c r="C5" s="973"/>
    </row>
    <row r="6" spans="1:8" ht="16.899999999999999" customHeight="1">
      <c r="A6" s="98"/>
      <c r="B6" s="98"/>
      <c r="C6" s="103"/>
    </row>
    <row r="7" spans="1:8">
      <c r="C7" s="1" t="s">
        <v>75</v>
      </c>
    </row>
    <row r="8" spans="1:8">
      <c r="A8" s="975" t="s">
        <v>362</v>
      </c>
      <c r="B8" s="974" t="s">
        <v>66</v>
      </c>
      <c r="C8" s="974"/>
    </row>
    <row r="9" spans="1:8" ht="23.45" customHeight="1">
      <c r="A9" s="976"/>
      <c r="B9" s="48" t="s">
        <v>591</v>
      </c>
      <c r="C9" s="48" t="s">
        <v>716</v>
      </c>
    </row>
    <row r="10" spans="1:8">
      <c r="A10" s="79">
        <v>1</v>
      </c>
      <c r="B10" s="79">
        <v>2</v>
      </c>
      <c r="C10" s="79">
        <v>3</v>
      </c>
    </row>
    <row r="11" spans="1:8" ht="18" customHeight="1">
      <c r="A11" s="104" t="s">
        <v>445</v>
      </c>
      <c r="B11" s="105">
        <f>SUM(B12:B13)</f>
        <v>7643.1</v>
      </c>
      <c r="C11" s="105">
        <f>SUM(C12:C13)</f>
        <v>7643.1</v>
      </c>
    </row>
    <row r="12" spans="1:8">
      <c r="A12" s="49" t="s">
        <v>363</v>
      </c>
      <c r="B12" s="106">
        <f>'прил13(ведом 20-21)'!M123</f>
        <v>5000</v>
      </c>
      <c r="C12" s="106">
        <f>'прил13(ведом 20-21)'!N123</f>
        <v>5000</v>
      </c>
    </row>
    <row r="13" spans="1:8">
      <c r="A13" s="60" t="s">
        <v>480</v>
      </c>
      <c r="B13" s="106">
        <f>'прил13(ведом 20-21)'!M60</f>
        <v>2643.1</v>
      </c>
      <c r="C13" s="106">
        <f>'прил13(ведом 20-21)'!N60</f>
        <v>2643.1</v>
      </c>
      <c r="F13" s="545"/>
    </row>
    <row r="14" spans="1:8">
      <c r="A14" s="2"/>
      <c r="B14" s="243"/>
    </row>
    <row r="16" spans="1:8" s="29" customFormat="1">
      <c r="A16" s="96" t="s">
        <v>588</v>
      </c>
      <c r="B16" s="31"/>
      <c r="C16" s="32"/>
      <c r="D16" s="32"/>
      <c r="E16" s="32"/>
      <c r="F16" s="33"/>
      <c r="G16" s="34"/>
      <c r="H16" s="30"/>
    </row>
    <row r="17" spans="1:8" s="29" customFormat="1">
      <c r="A17" s="96" t="s">
        <v>589</v>
      </c>
      <c r="B17" s="31"/>
      <c r="C17" s="32"/>
      <c r="D17" s="32"/>
      <c r="E17" s="32"/>
      <c r="F17" s="33"/>
      <c r="G17" s="34"/>
      <c r="H17" s="30"/>
    </row>
    <row r="18" spans="1:8" s="29" customFormat="1">
      <c r="A18" s="97" t="s">
        <v>590</v>
      </c>
      <c r="C18" s="28" t="s">
        <v>641</v>
      </c>
      <c r="D18" s="32"/>
      <c r="E18" s="32"/>
      <c r="F18" s="33"/>
    </row>
  </sheetData>
  <mergeCells count="3">
    <mergeCell ref="A5:C5"/>
    <mergeCell ref="B8:C8"/>
    <mergeCell ref="A8:A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theme="0" tint="-0.499984740745262"/>
    <pageSetUpPr fitToPage="1"/>
  </sheetPr>
  <dimension ref="A1:J33"/>
  <sheetViews>
    <sheetView workbookViewId="0">
      <selection activeCell="A10" sqref="A10"/>
    </sheetView>
  </sheetViews>
  <sheetFormatPr defaultColWidth="8.85546875" defaultRowHeight="12.75"/>
  <cols>
    <col min="1" max="1" width="7.42578125" style="102" customWidth="1"/>
    <col min="2" max="3" width="8.85546875" style="102"/>
    <col min="4" max="4" width="6.5703125" style="102" customWidth="1"/>
    <col min="5" max="5" width="37.42578125" style="102" customWidth="1"/>
    <col min="6" max="6" width="15.28515625" style="102" customWidth="1"/>
    <col min="7" max="7" width="9.5703125" style="102" bestFit="1" customWidth="1"/>
    <col min="8" max="8" width="9.85546875" style="102" customWidth="1"/>
    <col min="9" max="9" width="8.85546875" style="102"/>
    <col min="10" max="10" width="11.85546875" style="102" bestFit="1" customWidth="1"/>
    <col min="11" max="16384" width="8.85546875" style="102"/>
  </cols>
  <sheetData>
    <row r="1" spans="1:10" ht="18" customHeight="1">
      <c r="F1" s="3" t="s">
        <v>520</v>
      </c>
    </row>
    <row r="2" spans="1:10" ht="16.149999999999999" customHeight="1">
      <c r="F2" s="3" t="s">
        <v>0</v>
      </c>
    </row>
    <row r="3" spans="1:10" ht="18" customHeight="1"/>
    <row r="4" spans="1:10" s="6" customFormat="1" ht="18.75">
      <c r="F4" s="7"/>
    </row>
    <row r="5" spans="1:10" s="6" customFormat="1" ht="55.9" customHeight="1">
      <c r="A5" s="977" t="s">
        <v>762</v>
      </c>
      <c r="B5" s="977"/>
      <c r="C5" s="977"/>
      <c r="D5" s="977"/>
      <c r="E5" s="977"/>
      <c r="F5" s="977"/>
    </row>
    <row r="6" spans="1:10" s="6" customFormat="1" ht="18.75"/>
    <row r="7" spans="1:10" s="6" customFormat="1" ht="18.75">
      <c r="F7" s="43" t="s">
        <v>319</v>
      </c>
    </row>
    <row r="8" spans="1:10" s="6" customFormat="1" ht="43.5" customHeight="1">
      <c r="A8" s="101" t="s">
        <v>234</v>
      </c>
      <c r="B8" s="978" t="s">
        <v>192</v>
      </c>
      <c r="C8" s="979"/>
      <c r="D8" s="979"/>
      <c r="E8" s="980"/>
      <c r="F8" s="62" t="s">
        <v>66</v>
      </c>
      <c r="G8" s="63"/>
      <c r="H8" s="63"/>
      <c r="I8" s="63"/>
      <c r="J8" s="64"/>
    </row>
    <row r="9" spans="1:10" s="6" customFormat="1" ht="16.899999999999999" customHeight="1">
      <c r="A9" s="101">
        <v>1</v>
      </c>
      <c r="B9" s="978">
        <v>2</v>
      </c>
      <c r="C9" s="984"/>
      <c r="D9" s="984"/>
      <c r="E9" s="985"/>
      <c r="F9" s="62">
        <v>3</v>
      </c>
      <c r="G9" s="63"/>
      <c r="H9" s="63"/>
      <c r="I9" s="63"/>
      <c r="J9" s="64"/>
    </row>
    <row r="10" spans="1:10" s="6" customFormat="1" ht="18.75">
      <c r="A10" s="8">
        <v>1</v>
      </c>
      <c r="B10" s="65" t="s">
        <v>340</v>
      </c>
      <c r="C10" s="65"/>
      <c r="D10" s="65"/>
      <c r="E10" s="65"/>
      <c r="F10" s="66">
        <v>975.1</v>
      </c>
      <c r="G10" s="63"/>
      <c r="H10" s="63"/>
      <c r="I10" s="63"/>
      <c r="J10" s="67"/>
    </row>
    <row r="11" spans="1:10" s="6" customFormat="1" ht="18.75">
      <c r="A11" s="8">
        <v>2</v>
      </c>
      <c r="B11" s="65" t="s">
        <v>341</v>
      </c>
      <c r="C11" s="65"/>
      <c r="D11" s="65"/>
      <c r="E11" s="65"/>
      <c r="F11" s="66">
        <v>399.6</v>
      </c>
      <c r="G11" s="63"/>
      <c r="H11" s="63"/>
      <c r="I11" s="63"/>
      <c r="J11" s="67"/>
    </row>
    <row r="12" spans="1:10" s="6" customFormat="1" ht="18.75">
      <c r="A12" s="8">
        <v>3</v>
      </c>
      <c r="B12" s="65" t="s">
        <v>342</v>
      </c>
      <c r="C12" s="65"/>
      <c r="D12" s="65"/>
      <c r="E12" s="65"/>
      <c r="F12" s="66">
        <v>578.29999999999995</v>
      </c>
      <c r="G12" s="63"/>
      <c r="H12" s="63"/>
      <c r="I12" s="63"/>
      <c r="J12" s="67"/>
    </row>
    <row r="13" spans="1:10" s="6" customFormat="1" ht="18.75">
      <c r="A13" s="8">
        <v>4</v>
      </c>
      <c r="B13" s="65" t="s">
        <v>451</v>
      </c>
      <c r="C13" s="65"/>
      <c r="D13" s="65"/>
      <c r="E13" s="65"/>
      <c r="F13" s="66">
        <v>304.89999999999998</v>
      </c>
      <c r="G13" s="63"/>
      <c r="H13" s="63"/>
      <c r="I13" s="63"/>
      <c r="J13" s="67"/>
    </row>
    <row r="14" spans="1:10" s="6" customFormat="1" ht="18.75">
      <c r="A14" s="8">
        <v>5</v>
      </c>
      <c r="B14" s="65" t="s">
        <v>343</v>
      </c>
      <c r="C14" s="65"/>
      <c r="D14" s="65"/>
      <c r="E14" s="65"/>
      <c r="F14" s="66">
        <v>239.9</v>
      </c>
      <c r="G14" s="63"/>
      <c r="H14" s="63"/>
      <c r="I14" s="63"/>
      <c r="J14" s="67"/>
    </row>
    <row r="15" spans="1:10" s="6" customFormat="1" ht="18.75">
      <c r="A15" s="8">
        <v>6</v>
      </c>
      <c r="B15" s="65" t="s">
        <v>344</v>
      </c>
      <c r="C15" s="65"/>
      <c r="D15" s="65"/>
      <c r="E15" s="65"/>
      <c r="F15" s="66">
        <v>543.6</v>
      </c>
      <c r="G15" s="63"/>
      <c r="H15" s="63"/>
      <c r="I15" s="63"/>
      <c r="J15" s="67"/>
    </row>
    <row r="16" spans="1:10" s="6" customFormat="1" ht="18.75">
      <c r="A16" s="8">
        <v>7</v>
      </c>
      <c r="B16" s="65" t="s">
        <v>345</v>
      </c>
      <c r="C16" s="65"/>
      <c r="D16" s="65"/>
      <c r="E16" s="65"/>
      <c r="F16" s="66">
        <v>265.8</v>
      </c>
      <c r="G16" s="63"/>
      <c r="H16" s="63"/>
      <c r="I16" s="63"/>
      <c r="J16" s="67"/>
    </row>
    <row r="17" spans="1:10" s="6" customFormat="1" ht="18.75">
      <c r="A17" s="8">
        <v>8</v>
      </c>
      <c r="B17" s="65" t="s">
        <v>346</v>
      </c>
      <c r="C17" s="65"/>
      <c r="D17" s="65"/>
      <c r="E17" s="65"/>
      <c r="F17" s="66">
        <v>1178.0999999999999</v>
      </c>
      <c r="G17" s="63"/>
      <c r="H17" s="63"/>
      <c r="I17" s="63"/>
      <c r="J17" s="67"/>
    </row>
    <row r="18" spans="1:10" s="6" customFormat="1" ht="18.75">
      <c r="A18" s="8">
        <v>9</v>
      </c>
      <c r="B18" s="65" t="s">
        <v>347</v>
      </c>
      <c r="C18" s="65"/>
      <c r="D18" s="65"/>
      <c r="E18" s="65"/>
      <c r="F18" s="66">
        <v>514.70000000000005</v>
      </c>
      <c r="G18" s="63"/>
      <c r="H18" s="63"/>
      <c r="I18" s="63"/>
      <c r="J18" s="67"/>
    </row>
    <row r="19" spans="1:10" s="6" customFormat="1" ht="26.45" customHeight="1">
      <c r="A19" s="65"/>
      <c r="B19" s="981" t="s">
        <v>445</v>
      </c>
      <c r="C19" s="982"/>
      <c r="D19" s="982"/>
      <c r="E19" s="983"/>
      <c r="F19" s="68">
        <f>SUM(F10:F18)</f>
        <v>5000</v>
      </c>
      <c r="G19" s="63"/>
      <c r="H19" s="63"/>
      <c r="I19" s="63"/>
      <c r="J19" s="69"/>
    </row>
    <row r="20" spans="1:10" s="6" customFormat="1" ht="18.75">
      <c r="F20" s="7"/>
    </row>
    <row r="21" spans="1:10" s="6" customFormat="1" ht="18.75">
      <c r="F21" s="7"/>
    </row>
    <row r="22" spans="1:10" s="29" customFormat="1" ht="18.75">
      <c r="A22" s="96" t="s">
        <v>588</v>
      </c>
      <c r="B22" s="31"/>
      <c r="C22" s="32"/>
      <c r="D22" s="32"/>
      <c r="E22" s="32"/>
      <c r="F22" s="33"/>
      <c r="G22" s="34"/>
      <c r="H22" s="30"/>
    </row>
    <row r="23" spans="1:10" s="29" customFormat="1" ht="18.75">
      <c r="A23" s="96" t="s">
        <v>589</v>
      </c>
      <c r="B23" s="31"/>
      <c r="C23" s="32"/>
      <c r="D23" s="32"/>
      <c r="E23" s="32"/>
      <c r="F23" s="33"/>
      <c r="G23" s="34"/>
      <c r="H23" s="30"/>
    </row>
    <row r="24" spans="1:10" s="29" customFormat="1" ht="18.75">
      <c r="A24" s="97" t="s">
        <v>590</v>
      </c>
      <c r="D24" s="32"/>
      <c r="E24" s="32"/>
      <c r="F24" s="28" t="s">
        <v>641</v>
      </c>
    </row>
    <row r="25" spans="1:10" s="6" customFormat="1" ht="18.75">
      <c r="F25" s="7"/>
    </row>
    <row r="26" spans="1:10" s="6" customFormat="1" ht="18.75">
      <c r="F26" s="7"/>
    </row>
    <row r="27" spans="1:10" s="6" customFormat="1" ht="18.75">
      <c r="F27" s="7"/>
    </row>
    <row r="28" spans="1:10" s="6" customFormat="1" ht="18.75">
      <c r="F28" s="7"/>
    </row>
    <row r="29" spans="1:10" s="6" customFormat="1" ht="18.75">
      <c r="F29" s="70"/>
    </row>
    <row r="30" spans="1:10" s="6" customFormat="1" ht="18.75">
      <c r="F30" s="7"/>
    </row>
    <row r="31" spans="1:10" s="6" customFormat="1" ht="18.75">
      <c r="F31" s="7"/>
    </row>
    <row r="32" spans="1:10" s="6" customFormat="1" ht="18.75">
      <c r="A32" s="5"/>
      <c r="B32" s="5"/>
      <c r="C32" s="5"/>
      <c r="D32" s="5"/>
      <c r="F32" s="7"/>
    </row>
    <row r="33" spans="1:6" s="6" customFormat="1" ht="18.75">
      <c r="A33" s="5"/>
      <c r="B33" s="5"/>
      <c r="C33" s="5"/>
      <c r="D33" s="5"/>
      <c r="F33" s="43"/>
    </row>
  </sheetData>
  <mergeCells count="4">
    <mergeCell ref="A5:F5"/>
    <mergeCell ref="B8:E8"/>
    <mergeCell ref="B19:E19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theme="0" tint="-0.499984740745262"/>
    <pageSetUpPr fitToPage="1"/>
  </sheetPr>
  <dimension ref="A1:J34"/>
  <sheetViews>
    <sheetView workbookViewId="0">
      <selection activeCell="N11" sqref="N11"/>
    </sheetView>
  </sheetViews>
  <sheetFormatPr defaultColWidth="8.85546875" defaultRowHeight="12.75"/>
  <cols>
    <col min="1" max="1" width="7.42578125" style="102" customWidth="1"/>
    <col min="2" max="3" width="8.85546875" style="102"/>
    <col min="4" max="4" width="6.5703125" style="102" customWidth="1"/>
    <col min="5" max="5" width="24.7109375" style="102" customWidth="1"/>
    <col min="6" max="6" width="14.28515625" style="102" customWidth="1"/>
    <col min="7" max="7" width="13.5703125" style="102" customWidth="1"/>
    <col min="8" max="8" width="9.85546875" style="102" customWidth="1"/>
    <col min="9" max="9" width="8.85546875" style="102"/>
    <col min="10" max="10" width="11.85546875" style="102" bestFit="1" customWidth="1"/>
    <col min="11" max="16384" width="8.85546875" style="102"/>
  </cols>
  <sheetData>
    <row r="1" spans="1:10" ht="18" customHeight="1">
      <c r="G1" s="3" t="s">
        <v>763</v>
      </c>
    </row>
    <row r="2" spans="1:10" ht="16.149999999999999" customHeight="1">
      <c r="G2" s="3" t="s">
        <v>0</v>
      </c>
    </row>
    <row r="3" spans="1:10" ht="18" customHeight="1"/>
    <row r="4" spans="1:10" s="6" customFormat="1" ht="18.75">
      <c r="F4" s="7"/>
    </row>
    <row r="5" spans="1:10" s="6" customFormat="1" ht="54.6" customHeight="1">
      <c r="A5" s="977" t="s">
        <v>764</v>
      </c>
      <c r="B5" s="977"/>
      <c r="C5" s="977"/>
      <c r="D5" s="977"/>
      <c r="E5" s="977"/>
      <c r="F5" s="977"/>
      <c r="G5" s="977"/>
    </row>
    <row r="6" spans="1:10" s="6" customFormat="1" ht="18.75"/>
    <row r="7" spans="1:10" s="6" customFormat="1" ht="18.75">
      <c r="G7" s="43" t="s">
        <v>319</v>
      </c>
    </row>
    <row r="8" spans="1:10" s="6" customFormat="1" ht="18.75">
      <c r="A8" s="986" t="s">
        <v>234</v>
      </c>
      <c r="B8" s="986" t="s">
        <v>192</v>
      </c>
      <c r="C8" s="986"/>
      <c r="D8" s="986"/>
      <c r="E8" s="986"/>
      <c r="F8" s="974" t="s">
        <v>66</v>
      </c>
      <c r="G8" s="974"/>
    </row>
    <row r="9" spans="1:10" s="6" customFormat="1" ht="27.6" customHeight="1">
      <c r="A9" s="986"/>
      <c r="B9" s="986"/>
      <c r="C9" s="986"/>
      <c r="D9" s="986"/>
      <c r="E9" s="986"/>
      <c r="F9" s="48" t="s">
        <v>591</v>
      </c>
      <c r="G9" s="48" t="s">
        <v>716</v>
      </c>
      <c r="H9" s="63"/>
      <c r="I9" s="63"/>
      <c r="J9" s="64"/>
    </row>
    <row r="10" spans="1:10" s="6" customFormat="1" ht="16.899999999999999" customHeight="1">
      <c r="A10" s="101">
        <v>1</v>
      </c>
      <c r="B10" s="978">
        <v>2</v>
      </c>
      <c r="C10" s="984"/>
      <c r="D10" s="984"/>
      <c r="E10" s="985"/>
      <c r="F10" s="62">
        <v>3</v>
      </c>
      <c r="G10" s="62">
        <v>4</v>
      </c>
      <c r="H10" s="63"/>
      <c r="I10" s="63"/>
      <c r="J10" s="64"/>
    </row>
    <row r="11" spans="1:10" s="6" customFormat="1" ht="18.75">
      <c r="A11" s="8">
        <v>1</v>
      </c>
      <c r="B11" s="65" t="s">
        <v>340</v>
      </c>
      <c r="C11" s="65"/>
      <c r="D11" s="65"/>
      <c r="E11" s="65"/>
      <c r="F11" s="66">
        <v>981.5</v>
      </c>
      <c r="G11" s="66">
        <v>951.3</v>
      </c>
      <c r="H11" s="63"/>
      <c r="I11" s="63"/>
      <c r="J11" s="67"/>
    </row>
    <row r="12" spans="1:10" s="6" customFormat="1" ht="18.75">
      <c r="A12" s="8">
        <v>2</v>
      </c>
      <c r="B12" s="65" t="s">
        <v>341</v>
      </c>
      <c r="C12" s="65"/>
      <c r="D12" s="65"/>
      <c r="E12" s="65"/>
      <c r="F12" s="66">
        <v>452.9</v>
      </c>
      <c r="G12" s="66">
        <v>419.1</v>
      </c>
      <c r="H12" s="63"/>
      <c r="I12" s="63"/>
      <c r="J12" s="67"/>
    </row>
    <row r="13" spans="1:10" s="6" customFormat="1" ht="18.75">
      <c r="A13" s="8">
        <v>3</v>
      </c>
      <c r="B13" s="65" t="s">
        <v>342</v>
      </c>
      <c r="C13" s="65"/>
      <c r="D13" s="65"/>
      <c r="E13" s="65"/>
      <c r="F13" s="66">
        <v>621.9</v>
      </c>
      <c r="G13" s="66">
        <v>619.4</v>
      </c>
      <c r="H13" s="63"/>
      <c r="I13" s="63"/>
      <c r="J13" s="67"/>
    </row>
    <row r="14" spans="1:10" s="6" customFormat="1" ht="18.75">
      <c r="A14" s="8">
        <v>4</v>
      </c>
      <c r="B14" s="65" t="s">
        <v>451</v>
      </c>
      <c r="C14" s="65"/>
      <c r="D14" s="65"/>
      <c r="E14" s="65"/>
      <c r="F14" s="66">
        <v>209</v>
      </c>
      <c r="G14" s="66">
        <v>257.10000000000002</v>
      </c>
      <c r="H14" s="63"/>
      <c r="I14" s="63"/>
      <c r="J14" s="67"/>
    </row>
    <row r="15" spans="1:10" s="6" customFormat="1" ht="18.75">
      <c r="A15" s="8">
        <v>5</v>
      </c>
      <c r="B15" s="65" t="s">
        <v>343</v>
      </c>
      <c r="C15" s="65"/>
      <c r="D15" s="65"/>
      <c r="E15" s="65"/>
      <c r="F15" s="66">
        <v>218.6</v>
      </c>
      <c r="G15" s="66">
        <v>202.3</v>
      </c>
      <c r="H15" s="63"/>
      <c r="I15" s="63"/>
      <c r="J15" s="67"/>
    </row>
    <row r="16" spans="1:10" s="6" customFormat="1" ht="18.75">
      <c r="A16" s="8">
        <v>6</v>
      </c>
      <c r="B16" s="65" t="s">
        <v>344</v>
      </c>
      <c r="C16" s="65"/>
      <c r="D16" s="65"/>
      <c r="E16" s="65"/>
      <c r="F16" s="66">
        <v>540</v>
      </c>
      <c r="G16" s="66">
        <v>541</v>
      </c>
      <c r="H16" s="63"/>
      <c r="I16" s="63"/>
      <c r="J16" s="67"/>
    </row>
    <row r="17" spans="1:10" s="6" customFormat="1" ht="18.75">
      <c r="A17" s="8">
        <v>7</v>
      </c>
      <c r="B17" s="65" t="s">
        <v>345</v>
      </c>
      <c r="C17" s="65"/>
      <c r="D17" s="65"/>
      <c r="E17" s="65"/>
      <c r="F17" s="66">
        <v>274.2</v>
      </c>
      <c r="G17" s="66">
        <v>268.60000000000002</v>
      </c>
      <c r="H17" s="63"/>
      <c r="I17" s="63"/>
      <c r="J17" s="67"/>
    </row>
    <row r="18" spans="1:10" s="6" customFormat="1" ht="18.75">
      <c r="A18" s="8">
        <v>8</v>
      </c>
      <c r="B18" s="65" t="s">
        <v>346</v>
      </c>
      <c r="C18" s="65"/>
      <c r="D18" s="65"/>
      <c r="E18" s="65"/>
      <c r="F18" s="66">
        <v>1140</v>
      </c>
      <c r="G18" s="66">
        <v>1178.4000000000001</v>
      </c>
      <c r="H18" s="63"/>
      <c r="I18" s="63"/>
      <c r="J18" s="67"/>
    </row>
    <row r="19" spans="1:10" s="6" customFormat="1" ht="18.75">
      <c r="A19" s="8">
        <v>9</v>
      </c>
      <c r="B19" s="65" t="s">
        <v>347</v>
      </c>
      <c r="C19" s="65"/>
      <c r="D19" s="65"/>
      <c r="E19" s="65"/>
      <c r="F19" s="66">
        <v>561.9</v>
      </c>
      <c r="G19" s="66">
        <v>562.79999999999995</v>
      </c>
      <c r="H19" s="63"/>
      <c r="I19" s="63"/>
      <c r="J19" s="67"/>
    </row>
    <row r="20" spans="1:10" s="6" customFormat="1" ht="26.45" customHeight="1">
      <c r="A20" s="65"/>
      <c r="B20" s="981" t="s">
        <v>445</v>
      </c>
      <c r="C20" s="982"/>
      <c r="D20" s="982"/>
      <c r="E20" s="983"/>
      <c r="F20" s="68">
        <f>SUM(F11:F19)</f>
        <v>5000</v>
      </c>
      <c r="G20" s="68">
        <f>SUM(G11:G19)</f>
        <v>5000.0000000000009</v>
      </c>
      <c r="H20" s="63"/>
      <c r="I20" s="63"/>
      <c r="J20" s="69"/>
    </row>
    <row r="21" spans="1:10" s="6" customFormat="1" ht="18.75">
      <c r="F21" s="7"/>
    </row>
    <row r="22" spans="1:10" s="6" customFormat="1" ht="18.75">
      <c r="F22" s="7"/>
    </row>
    <row r="23" spans="1:10" s="29" customFormat="1" ht="18.75">
      <c r="A23" s="96" t="s">
        <v>588</v>
      </c>
      <c r="B23" s="31"/>
      <c r="C23" s="32"/>
      <c r="D23" s="32"/>
      <c r="E23" s="32"/>
      <c r="F23" s="33"/>
      <c r="G23" s="34"/>
      <c r="H23" s="30"/>
    </row>
    <row r="24" spans="1:10" s="29" customFormat="1" ht="18.75">
      <c r="A24" s="96" t="s">
        <v>589</v>
      </c>
      <c r="B24" s="31"/>
      <c r="C24" s="32"/>
      <c r="D24" s="32"/>
      <c r="E24" s="32"/>
      <c r="F24" s="33"/>
      <c r="G24" s="34"/>
      <c r="H24" s="30"/>
    </row>
    <row r="25" spans="1:10" s="29" customFormat="1" ht="18.75">
      <c r="A25" s="97" t="s">
        <v>590</v>
      </c>
      <c r="D25" s="32"/>
      <c r="E25" s="32"/>
      <c r="G25" s="28" t="s">
        <v>641</v>
      </c>
    </row>
    <row r="26" spans="1:10" s="6" customFormat="1" ht="18.75">
      <c r="F26" s="7"/>
    </row>
    <row r="27" spans="1:10" s="6" customFormat="1" ht="18.75">
      <c r="F27" s="7"/>
    </row>
    <row r="28" spans="1:10" s="6" customFormat="1" ht="18.75">
      <c r="F28" s="7"/>
    </row>
    <row r="29" spans="1:10" s="6" customFormat="1" ht="18.75">
      <c r="F29" s="7"/>
    </row>
    <row r="30" spans="1:10" s="6" customFormat="1" ht="18.75">
      <c r="F30" s="70"/>
    </row>
    <row r="31" spans="1:10" s="6" customFormat="1" ht="18.75">
      <c r="F31" s="7"/>
    </row>
    <row r="32" spans="1:10" s="6" customFormat="1" ht="18.75">
      <c r="F32" s="7"/>
    </row>
    <row r="33" spans="1:6" s="6" customFormat="1" ht="18.75">
      <c r="A33" s="5"/>
      <c r="B33" s="5"/>
      <c r="C33" s="5"/>
      <c r="D33" s="5"/>
      <c r="F33" s="7"/>
    </row>
    <row r="34" spans="1:6" s="6" customFormat="1" ht="18.75">
      <c r="A34" s="5"/>
      <c r="B34" s="5"/>
      <c r="C34" s="5"/>
      <c r="D34" s="5"/>
      <c r="F34" s="43"/>
    </row>
  </sheetData>
  <mergeCells count="6">
    <mergeCell ref="B10:E10"/>
    <mergeCell ref="B20:E20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H132"/>
  <sheetViews>
    <sheetView zoomScale="68" zoomScaleNormal="68" zoomScaleSheetLayoutView="75" workbookViewId="0">
      <selection activeCell="C2" sqref="C2"/>
    </sheetView>
  </sheetViews>
  <sheetFormatPr defaultColWidth="9.140625" defaultRowHeight="18.75"/>
  <cols>
    <col min="1" max="1" width="28.28515625" style="316" customWidth="1"/>
    <col min="2" max="2" width="60.140625" style="559" customWidth="1"/>
    <col min="3" max="3" width="15.5703125" style="576" customWidth="1"/>
    <col min="4" max="4" width="10.28515625" style="316" bestFit="1" customWidth="1"/>
    <col min="5" max="5" width="16.140625" style="316" customWidth="1"/>
    <col min="6" max="6" width="15.5703125" style="316" bestFit="1" customWidth="1"/>
    <col min="7" max="7" width="14.85546875" style="316" customWidth="1"/>
    <col min="8" max="16384" width="9.140625" style="316"/>
  </cols>
  <sheetData>
    <row r="1" spans="1:5" s="236" customFormat="1">
      <c r="C1" s="244" t="s">
        <v>496</v>
      </c>
    </row>
    <row r="2" spans="1:5" s="236" customFormat="1">
      <c r="C2" s="244" t="s">
        <v>903</v>
      </c>
    </row>
    <row r="3" spans="1:5" s="236" customFormat="1">
      <c r="C3" s="244"/>
    </row>
    <row r="4" spans="1:5">
      <c r="C4" s="244" t="s">
        <v>452</v>
      </c>
    </row>
    <row r="5" spans="1:5">
      <c r="C5" s="244" t="s">
        <v>817</v>
      </c>
    </row>
    <row r="6" spans="1:5" ht="13.5" customHeight="1"/>
    <row r="7" spans="1:5" ht="15" customHeight="1"/>
    <row r="8" spans="1:5" ht="36" customHeight="1">
      <c r="A8" s="905" t="s">
        <v>714</v>
      </c>
      <c r="B8" s="905"/>
      <c r="C8" s="905"/>
    </row>
    <row r="10" spans="1:5">
      <c r="C10" s="560" t="s">
        <v>75</v>
      </c>
    </row>
    <row r="11" spans="1:5" ht="20.45" customHeight="1">
      <c r="A11" s="561" t="s">
        <v>64</v>
      </c>
      <c r="B11" s="562" t="s">
        <v>65</v>
      </c>
      <c r="C11" s="563" t="s">
        <v>66</v>
      </c>
    </row>
    <row r="12" spans="1:5">
      <c r="A12" s="561">
        <v>1</v>
      </c>
      <c r="B12" s="562">
        <v>2</v>
      </c>
      <c r="C12" s="564">
        <v>3</v>
      </c>
    </row>
    <row r="13" spans="1:5">
      <c r="A13" s="267" t="s">
        <v>205</v>
      </c>
      <c r="B13" s="268" t="s">
        <v>206</v>
      </c>
      <c r="C13" s="269">
        <f>SUM(C14:C30)</f>
        <v>388155.29999999993</v>
      </c>
      <c r="E13" s="565"/>
    </row>
    <row r="14" spans="1:5">
      <c r="A14" s="252" t="s">
        <v>207</v>
      </c>
      <c r="B14" s="521" t="s">
        <v>208</v>
      </c>
      <c r="C14" s="566">
        <v>3100</v>
      </c>
      <c r="E14" s="567"/>
    </row>
    <row r="15" spans="1:5">
      <c r="A15" s="301" t="s">
        <v>209</v>
      </c>
      <c r="B15" s="568" t="s">
        <v>210</v>
      </c>
      <c r="C15" s="566">
        <f>272614.7+2500+2500</f>
        <v>277614.7</v>
      </c>
      <c r="E15" s="567"/>
    </row>
    <row r="16" spans="1:5" ht="132" customHeight="1">
      <c r="A16" s="245" t="s">
        <v>211</v>
      </c>
      <c r="B16" s="569" t="s">
        <v>603</v>
      </c>
      <c r="C16" s="566">
        <v>4108.3</v>
      </c>
      <c r="E16" s="567"/>
    </row>
    <row r="17" spans="1:5" ht="37.5">
      <c r="A17" s="252" t="s">
        <v>441</v>
      </c>
      <c r="B17" s="569" t="s">
        <v>442</v>
      </c>
      <c r="C17" s="566">
        <f>28564+2500</f>
        <v>31064</v>
      </c>
      <c r="E17" s="567"/>
    </row>
    <row r="18" spans="1:5" ht="37.5">
      <c r="A18" s="252" t="s">
        <v>212</v>
      </c>
      <c r="B18" s="569" t="s">
        <v>470</v>
      </c>
      <c r="C18" s="566">
        <v>20615</v>
      </c>
      <c r="E18" s="567"/>
    </row>
    <row r="19" spans="1:5">
      <c r="A19" s="252" t="s">
        <v>213</v>
      </c>
      <c r="B19" s="568" t="s">
        <v>214</v>
      </c>
      <c r="C19" s="566">
        <v>100</v>
      </c>
      <c r="E19" s="567"/>
    </row>
    <row r="20" spans="1:5" ht="37.5">
      <c r="A20" s="252" t="s">
        <v>215</v>
      </c>
      <c r="B20" s="569" t="s">
        <v>216</v>
      </c>
      <c r="C20" s="566">
        <v>715</v>
      </c>
      <c r="E20" s="567"/>
    </row>
    <row r="21" spans="1:5">
      <c r="A21" s="252" t="s">
        <v>217</v>
      </c>
      <c r="B21" s="568" t="s">
        <v>218</v>
      </c>
      <c r="C21" s="566">
        <v>8230</v>
      </c>
      <c r="E21" s="567"/>
    </row>
    <row r="22" spans="1:5" ht="93.75">
      <c r="A22" s="252" t="s">
        <v>219</v>
      </c>
      <c r="B22" s="294" t="s">
        <v>220</v>
      </c>
      <c r="C22" s="566">
        <v>152.6</v>
      </c>
      <c r="E22" s="567"/>
    </row>
    <row r="23" spans="1:5" ht="112.5">
      <c r="A23" s="252" t="s">
        <v>221</v>
      </c>
      <c r="B23" s="569" t="s">
        <v>222</v>
      </c>
      <c r="C23" s="566">
        <f>19860</f>
        <v>19860</v>
      </c>
      <c r="E23" s="567"/>
    </row>
    <row r="24" spans="1:5" ht="56.25">
      <c r="A24" s="252" t="s">
        <v>436</v>
      </c>
      <c r="B24" s="569" t="s">
        <v>39</v>
      </c>
      <c r="C24" s="566">
        <f>1090+796.8</f>
        <v>1886.8</v>
      </c>
      <c r="E24" s="567"/>
    </row>
    <row r="25" spans="1:5" ht="76.150000000000006" customHeight="1">
      <c r="A25" s="252" t="s">
        <v>223</v>
      </c>
      <c r="B25" s="569" t="s">
        <v>224</v>
      </c>
      <c r="C25" s="566">
        <v>17</v>
      </c>
      <c r="E25" s="567"/>
    </row>
    <row r="26" spans="1:5" ht="131.25">
      <c r="A26" s="252" t="s">
        <v>511</v>
      </c>
      <c r="B26" s="569" t="s">
        <v>512</v>
      </c>
      <c r="C26" s="566">
        <f>93+141.8</f>
        <v>234.8</v>
      </c>
      <c r="E26" s="567"/>
    </row>
    <row r="27" spans="1:5" ht="37.5">
      <c r="A27" s="252" t="s">
        <v>225</v>
      </c>
      <c r="B27" s="569" t="s">
        <v>226</v>
      </c>
      <c r="C27" s="566">
        <v>1700</v>
      </c>
      <c r="E27" s="567"/>
    </row>
    <row r="28" spans="1:5" ht="37.5">
      <c r="A28" s="252" t="s">
        <v>638</v>
      </c>
      <c r="B28" s="307" t="s">
        <v>737</v>
      </c>
      <c r="C28" s="566">
        <f>1200+246.1</f>
        <v>1446.1</v>
      </c>
      <c r="E28" s="567"/>
    </row>
    <row r="29" spans="1:5" ht="37.5">
      <c r="A29" s="252" t="s">
        <v>227</v>
      </c>
      <c r="B29" s="569" t="s">
        <v>228</v>
      </c>
      <c r="C29" s="566">
        <f>341+5071+70+4729</f>
        <v>10211</v>
      </c>
      <c r="E29" s="567"/>
    </row>
    <row r="30" spans="1:5" ht="22.5" customHeight="1">
      <c r="A30" s="245" t="s">
        <v>229</v>
      </c>
      <c r="B30" s="569" t="s">
        <v>230</v>
      </c>
      <c r="C30" s="566">
        <v>7100</v>
      </c>
      <c r="E30" s="567"/>
    </row>
    <row r="31" spans="1:5">
      <c r="A31" s="812" t="s">
        <v>67</v>
      </c>
      <c r="B31" s="813" t="s">
        <v>443</v>
      </c>
      <c r="C31" s="814">
        <f>C32+C37-C38</f>
        <v>1003906.34169</v>
      </c>
      <c r="D31" s="565"/>
    </row>
    <row r="32" spans="1:5" ht="56.25">
      <c r="A32" s="423" t="s">
        <v>68</v>
      </c>
      <c r="B32" s="570" t="s">
        <v>69</v>
      </c>
      <c r="C32" s="571">
        <f>C33+C35+C36+C34</f>
        <v>1003918.4</v>
      </c>
    </row>
    <row r="33" spans="1:8" s="572" customFormat="1" ht="37.5">
      <c r="A33" s="423" t="s">
        <v>718</v>
      </c>
      <c r="B33" s="305" t="s">
        <v>501</v>
      </c>
      <c r="C33" s="571">
        <f>'прил.4 (пост.безв.19)'!C15</f>
        <v>172898.9</v>
      </c>
    </row>
    <row r="34" spans="1:8" s="572" customFormat="1" ht="36.6" customHeight="1">
      <c r="A34" s="252" t="s">
        <v>720</v>
      </c>
      <c r="B34" s="569" t="s">
        <v>430</v>
      </c>
      <c r="C34" s="571">
        <f>'прил.4 (пост.безв.19)'!C20</f>
        <v>70332.899999999994</v>
      </c>
      <c r="E34" s="738"/>
    </row>
    <row r="35" spans="1:8" ht="37.5">
      <c r="A35" s="257" t="s">
        <v>722</v>
      </c>
      <c r="B35" s="305" t="s">
        <v>500</v>
      </c>
      <c r="C35" s="571">
        <f>'прил.4 (пост.безв.19)'!C39</f>
        <v>759189.7</v>
      </c>
    </row>
    <row r="36" spans="1:8">
      <c r="A36" s="423" t="s">
        <v>811</v>
      </c>
      <c r="B36" s="570" t="s">
        <v>231</v>
      </c>
      <c r="C36" s="571">
        <f>'прил.6 (безв.от пос.19)'!F14</f>
        <v>1496.9000000000003</v>
      </c>
    </row>
    <row r="37" spans="1:8" ht="96.6" customHeight="1">
      <c r="A37" s="423" t="s">
        <v>727</v>
      </c>
      <c r="B37" s="254" t="s">
        <v>567</v>
      </c>
      <c r="C37" s="571">
        <f>233.96339</f>
        <v>233.96339</v>
      </c>
      <c r="E37" s="565"/>
    </row>
    <row r="38" spans="1:8" ht="81.75" customHeight="1">
      <c r="A38" s="252" t="s">
        <v>729</v>
      </c>
      <c r="B38" s="254" t="s">
        <v>568</v>
      </c>
      <c r="C38" s="571">
        <f>246.0217</f>
        <v>246.02170000000001</v>
      </c>
      <c r="E38" s="565"/>
    </row>
    <row r="39" spans="1:8">
      <c r="A39" s="573"/>
      <c r="B39" s="303" t="s">
        <v>232</v>
      </c>
      <c r="C39" s="579">
        <f>C31+C13</f>
        <v>1392061.64169</v>
      </c>
      <c r="F39" s="574"/>
      <c r="G39" s="574"/>
    </row>
    <row r="40" spans="1:8" ht="60.6" customHeight="1">
      <c r="A40" s="906" t="s">
        <v>444</v>
      </c>
      <c r="B40" s="906"/>
      <c r="C40" s="906"/>
    </row>
    <row r="41" spans="1:8">
      <c r="A41" s="575"/>
    </row>
    <row r="42" spans="1:8">
      <c r="A42" s="575"/>
    </row>
    <row r="43" spans="1:8" s="333" customFormat="1">
      <c r="A43" s="330" t="s">
        <v>588</v>
      </c>
      <c r="B43" s="328"/>
      <c r="C43" s="208"/>
      <c r="D43" s="208"/>
      <c r="E43" s="208"/>
      <c r="F43" s="208"/>
      <c r="G43" s="331"/>
      <c r="H43" s="332"/>
    </row>
    <row r="44" spans="1:8" s="333" customFormat="1">
      <c r="A44" s="330" t="s">
        <v>589</v>
      </c>
      <c r="B44" s="328"/>
      <c r="C44" s="208"/>
      <c r="D44" s="208"/>
      <c r="E44" s="208"/>
      <c r="F44" s="208"/>
      <c r="G44" s="331"/>
      <c r="H44" s="332"/>
    </row>
    <row r="45" spans="1:8" s="333" customFormat="1">
      <c r="A45" s="334" t="s">
        <v>590</v>
      </c>
      <c r="B45" s="328"/>
      <c r="C45" s="335" t="s">
        <v>641</v>
      </c>
      <c r="D45" s="208"/>
      <c r="E45" s="208"/>
      <c r="F45" s="208"/>
    </row>
    <row r="47" spans="1:8">
      <c r="B47" s="577"/>
      <c r="C47" s="578"/>
    </row>
    <row r="48" spans="1:8">
      <c r="B48" s="577"/>
      <c r="C48" s="578"/>
    </row>
    <row r="55" spans="2:3">
      <c r="B55" s="316"/>
      <c r="C55" s="316"/>
    </row>
    <row r="56" spans="2:3">
      <c r="B56" s="316"/>
      <c r="C56" s="316"/>
    </row>
    <row r="57" spans="2:3">
      <c r="B57" s="316"/>
      <c r="C57" s="316"/>
    </row>
    <row r="58" spans="2:3">
      <c r="B58" s="316"/>
      <c r="C58" s="316"/>
    </row>
    <row r="59" spans="2:3">
      <c r="B59" s="316"/>
      <c r="C59" s="316"/>
    </row>
    <row r="60" spans="2:3">
      <c r="B60" s="316"/>
      <c r="C60" s="316"/>
    </row>
    <row r="61" spans="2:3">
      <c r="B61" s="316"/>
      <c r="C61" s="316"/>
    </row>
    <row r="62" spans="2:3">
      <c r="B62" s="316"/>
      <c r="C62" s="316"/>
    </row>
    <row r="63" spans="2:3">
      <c r="B63" s="316"/>
      <c r="C63" s="316"/>
    </row>
    <row r="64" spans="2:3">
      <c r="B64" s="316"/>
      <c r="C64" s="316"/>
    </row>
    <row r="65" spans="2:3">
      <c r="B65" s="316"/>
      <c r="C65" s="316"/>
    </row>
    <row r="66" spans="2:3">
      <c r="B66" s="316"/>
      <c r="C66" s="316"/>
    </row>
    <row r="67" spans="2:3">
      <c r="B67" s="316"/>
      <c r="C67" s="316"/>
    </row>
    <row r="68" spans="2:3">
      <c r="B68" s="316"/>
      <c r="C68" s="316"/>
    </row>
    <row r="69" spans="2:3">
      <c r="B69" s="316"/>
      <c r="C69" s="316"/>
    </row>
    <row r="70" spans="2:3">
      <c r="B70" s="316"/>
      <c r="C70" s="316"/>
    </row>
    <row r="71" spans="2:3">
      <c r="B71" s="316"/>
      <c r="C71" s="316"/>
    </row>
    <row r="72" spans="2:3">
      <c r="B72" s="316"/>
      <c r="C72" s="316"/>
    </row>
    <row r="73" spans="2:3">
      <c r="B73" s="316"/>
      <c r="C73" s="316"/>
    </row>
    <row r="74" spans="2:3">
      <c r="B74" s="316"/>
      <c r="C74" s="316"/>
    </row>
    <row r="75" spans="2:3">
      <c r="B75" s="316"/>
      <c r="C75" s="316"/>
    </row>
    <row r="76" spans="2:3">
      <c r="B76" s="316"/>
      <c r="C76" s="316"/>
    </row>
    <row r="77" spans="2:3">
      <c r="B77" s="316"/>
      <c r="C77" s="316"/>
    </row>
    <row r="78" spans="2:3">
      <c r="B78" s="316"/>
      <c r="C78" s="316"/>
    </row>
    <row r="79" spans="2:3">
      <c r="B79" s="316"/>
      <c r="C79" s="316"/>
    </row>
    <row r="80" spans="2:3">
      <c r="B80" s="316"/>
      <c r="C80" s="316"/>
    </row>
    <row r="81" spans="2:3">
      <c r="B81" s="316"/>
      <c r="C81" s="316"/>
    </row>
    <row r="82" spans="2:3">
      <c r="B82" s="316"/>
      <c r="C82" s="316"/>
    </row>
    <row r="83" spans="2:3">
      <c r="B83" s="316"/>
      <c r="C83" s="316"/>
    </row>
    <row r="84" spans="2:3">
      <c r="B84" s="316"/>
      <c r="C84" s="316"/>
    </row>
    <row r="85" spans="2:3">
      <c r="B85" s="316"/>
      <c r="C85" s="316"/>
    </row>
    <row r="86" spans="2:3">
      <c r="B86" s="316"/>
      <c r="C86" s="316"/>
    </row>
    <row r="87" spans="2:3">
      <c r="B87" s="316"/>
      <c r="C87" s="316"/>
    </row>
    <row r="88" spans="2:3">
      <c r="B88" s="316"/>
      <c r="C88" s="316"/>
    </row>
    <row r="89" spans="2:3">
      <c r="B89" s="316"/>
      <c r="C89" s="316"/>
    </row>
    <row r="90" spans="2:3">
      <c r="B90" s="316"/>
      <c r="C90" s="316"/>
    </row>
    <row r="91" spans="2:3">
      <c r="B91" s="316"/>
      <c r="C91" s="316"/>
    </row>
    <row r="92" spans="2:3">
      <c r="B92" s="316"/>
      <c r="C92" s="316"/>
    </row>
    <row r="93" spans="2:3">
      <c r="B93" s="316"/>
      <c r="C93" s="316"/>
    </row>
    <row r="94" spans="2:3">
      <c r="B94" s="316"/>
      <c r="C94" s="316"/>
    </row>
    <row r="95" spans="2:3">
      <c r="B95" s="316"/>
      <c r="C95" s="316"/>
    </row>
    <row r="96" spans="2:3">
      <c r="B96" s="316"/>
      <c r="C96" s="316"/>
    </row>
    <row r="97" spans="2:3">
      <c r="B97" s="316"/>
      <c r="C97" s="316"/>
    </row>
    <row r="98" spans="2:3">
      <c r="B98" s="316"/>
      <c r="C98" s="316"/>
    </row>
    <row r="99" spans="2:3">
      <c r="B99" s="316"/>
      <c r="C99" s="316"/>
    </row>
    <row r="100" spans="2:3">
      <c r="B100" s="316"/>
      <c r="C100" s="316"/>
    </row>
    <row r="101" spans="2:3">
      <c r="B101" s="316"/>
      <c r="C101" s="316"/>
    </row>
    <row r="102" spans="2:3">
      <c r="B102" s="316"/>
      <c r="C102" s="316"/>
    </row>
    <row r="103" spans="2:3">
      <c r="B103" s="316"/>
      <c r="C103" s="316"/>
    </row>
    <row r="104" spans="2:3">
      <c r="B104" s="316"/>
      <c r="C104" s="316"/>
    </row>
    <row r="105" spans="2:3">
      <c r="B105" s="316"/>
      <c r="C105" s="316"/>
    </row>
    <row r="106" spans="2:3">
      <c r="B106" s="316"/>
      <c r="C106" s="316"/>
    </row>
    <row r="107" spans="2:3">
      <c r="B107" s="316"/>
      <c r="C107" s="316"/>
    </row>
    <row r="108" spans="2:3">
      <c r="B108" s="316"/>
      <c r="C108" s="316"/>
    </row>
    <row r="109" spans="2:3">
      <c r="B109" s="316"/>
      <c r="C109" s="316"/>
    </row>
    <row r="110" spans="2:3">
      <c r="B110" s="316"/>
      <c r="C110" s="316"/>
    </row>
    <row r="111" spans="2:3">
      <c r="B111" s="316"/>
      <c r="C111" s="316"/>
    </row>
    <row r="112" spans="2:3">
      <c r="B112" s="316"/>
      <c r="C112" s="316"/>
    </row>
    <row r="113" spans="2:3">
      <c r="B113" s="316"/>
      <c r="C113" s="316"/>
    </row>
    <row r="114" spans="2:3">
      <c r="B114" s="316"/>
      <c r="C114" s="316"/>
    </row>
    <row r="115" spans="2:3">
      <c r="B115" s="316"/>
      <c r="C115" s="316"/>
    </row>
    <row r="116" spans="2:3">
      <c r="B116" s="316"/>
      <c r="C116" s="316"/>
    </row>
    <row r="117" spans="2:3">
      <c r="B117" s="316"/>
      <c r="C117" s="316"/>
    </row>
    <row r="118" spans="2:3">
      <c r="B118" s="316"/>
      <c r="C118" s="316"/>
    </row>
    <row r="119" spans="2:3">
      <c r="B119" s="316"/>
      <c r="C119" s="316"/>
    </row>
    <row r="120" spans="2:3">
      <c r="B120" s="316"/>
      <c r="C120" s="316"/>
    </row>
    <row r="121" spans="2:3">
      <c r="B121" s="316"/>
      <c r="C121" s="316"/>
    </row>
    <row r="122" spans="2:3">
      <c r="B122" s="316"/>
      <c r="C122" s="316"/>
    </row>
    <row r="123" spans="2:3">
      <c r="B123" s="316"/>
      <c r="C123" s="316"/>
    </row>
    <row r="124" spans="2:3">
      <c r="B124" s="316"/>
      <c r="C124" s="316"/>
    </row>
    <row r="125" spans="2:3">
      <c r="B125" s="316"/>
      <c r="C125" s="316"/>
    </row>
    <row r="126" spans="2:3">
      <c r="B126" s="316"/>
      <c r="C126" s="316"/>
    </row>
    <row r="127" spans="2:3">
      <c r="B127" s="316"/>
      <c r="C127" s="316"/>
    </row>
    <row r="128" spans="2:3">
      <c r="B128" s="316"/>
      <c r="C128" s="316"/>
    </row>
    <row r="129" spans="2:3">
      <c r="B129" s="316"/>
      <c r="C129" s="316"/>
    </row>
    <row r="130" spans="2:3">
      <c r="B130" s="316"/>
      <c r="C130" s="316"/>
    </row>
    <row r="131" spans="2:3">
      <c r="B131" s="316"/>
      <c r="C131" s="316"/>
    </row>
    <row r="132" spans="2:3">
      <c r="B132" s="316"/>
      <c r="C132" s="316"/>
    </row>
  </sheetData>
  <mergeCells count="2">
    <mergeCell ref="A8:C8"/>
    <mergeCell ref="A40:C40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2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rgb="FFFFFF00"/>
    <pageSetUpPr fitToPage="1"/>
  </sheetPr>
  <dimension ref="A1:H35"/>
  <sheetViews>
    <sheetView zoomScale="90" zoomScaleNormal="90" zoomScaleSheetLayoutView="75" workbookViewId="0">
      <selection activeCell="H13" sqref="H13"/>
    </sheetView>
  </sheetViews>
  <sheetFormatPr defaultColWidth="9.140625" defaultRowHeight="18.75"/>
  <cols>
    <col min="1" max="1" width="4.85546875" style="353" customWidth="1"/>
    <col min="2" max="2" width="76" style="843" customWidth="1"/>
    <col min="3" max="3" width="12" style="843" customWidth="1"/>
    <col min="4" max="4" width="12.5703125" style="353" customWidth="1"/>
    <col min="5" max="16384" width="9.140625" style="353"/>
  </cols>
  <sheetData>
    <row r="1" spans="1:8" s="539" customFormat="1">
      <c r="D1" s="244" t="s">
        <v>639</v>
      </c>
    </row>
    <row r="2" spans="1:8" s="539" customFormat="1">
      <c r="D2" s="244" t="s">
        <v>0</v>
      </c>
    </row>
    <row r="3" spans="1:8" s="539" customFormat="1">
      <c r="D3" s="244"/>
    </row>
    <row r="4" spans="1:8">
      <c r="D4" s="244" t="s">
        <v>765</v>
      </c>
    </row>
    <row r="5" spans="1:8">
      <c r="D5" s="244" t="s">
        <v>817</v>
      </c>
    </row>
    <row r="6" spans="1:8" s="539" customFormat="1" ht="17.45" customHeight="1">
      <c r="A6" s="353"/>
      <c r="B6" s="353"/>
      <c r="C6" s="353"/>
    </row>
    <row r="8" spans="1:8">
      <c r="A8" s="922" t="s">
        <v>557</v>
      </c>
      <c r="B8" s="989"/>
      <c r="C8" s="989"/>
      <c r="D8" s="989"/>
    </row>
    <row r="9" spans="1:8" ht="20.45" customHeight="1">
      <c r="A9" s="990" t="s">
        <v>766</v>
      </c>
      <c r="B9" s="991"/>
      <c r="C9" s="991"/>
      <c r="D9" s="991"/>
    </row>
    <row r="10" spans="1:8">
      <c r="A10" s="844"/>
      <c r="B10" s="845"/>
      <c r="C10" s="845"/>
    </row>
    <row r="11" spans="1:8" ht="36" customHeight="1">
      <c r="A11" s="992" t="s">
        <v>767</v>
      </c>
      <c r="B11" s="993"/>
      <c r="C11" s="993"/>
      <c r="D11" s="993"/>
    </row>
    <row r="12" spans="1:8">
      <c r="A12" s="844"/>
      <c r="B12" s="845"/>
      <c r="C12" s="845"/>
    </row>
    <row r="13" spans="1:8">
      <c r="A13" s="844"/>
      <c r="B13" s="845"/>
      <c r="C13" s="845"/>
      <c r="D13" s="846" t="s">
        <v>337</v>
      </c>
    </row>
    <row r="14" spans="1:8" ht="37.5">
      <c r="A14" s="847" t="s">
        <v>338</v>
      </c>
      <c r="B14" s="848" t="s">
        <v>558</v>
      </c>
      <c r="C14" s="849"/>
      <c r="D14" s="849" t="s">
        <v>348</v>
      </c>
    </row>
    <row r="15" spans="1:8">
      <c r="A15" s="847">
        <v>1</v>
      </c>
      <c r="B15" s="847">
        <v>2</v>
      </c>
      <c r="C15" s="850"/>
      <c r="D15" s="849">
        <v>3</v>
      </c>
    </row>
    <row r="16" spans="1:8" ht="56.25">
      <c r="A16" s="994" t="s">
        <v>339</v>
      </c>
      <c r="B16" s="851" t="s">
        <v>351</v>
      </c>
      <c r="C16" s="852"/>
      <c r="D16" s="853">
        <f>D18-D19</f>
        <v>-14700</v>
      </c>
      <c r="F16" s="854"/>
      <c r="G16" s="854"/>
      <c r="H16" s="854"/>
    </row>
    <row r="17" spans="1:8">
      <c r="A17" s="995"/>
      <c r="B17" s="855" t="s">
        <v>236</v>
      </c>
      <c r="C17" s="856"/>
      <c r="D17" s="857"/>
      <c r="F17" s="854"/>
      <c r="G17" s="854"/>
      <c r="H17" s="854"/>
    </row>
    <row r="18" spans="1:8">
      <c r="A18" s="995"/>
      <c r="B18" s="855" t="s">
        <v>349</v>
      </c>
      <c r="C18" s="856"/>
      <c r="D18" s="857">
        <v>0</v>
      </c>
      <c r="F18" s="365"/>
      <c r="G18" s="365"/>
      <c r="H18" s="854"/>
    </row>
    <row r="19" spans="1:8">
      <c r="A19" s="995"/>
      <c r="B19" s="858" t="s">
        <v>350</v>
      </c>
      <c r="C19" s="859"/>
      <c r="D19" s="860">
        <v>14700</v>
      </c>
    </row>
    <row r="20" spans="1:8">
      <c r="D20" s="861"/>
    </row>
    <row r="21" spans="1:8" ht="42" customHeight="1">
      <c r="A21" s="996" t="s">
        <v>768</v>
      </c>
      <c r="B21" s="997"/>
      <c r="C21" s="997"/>
      <c r="D21" s="997"/>
    </row>
    <row r="22" spans="1:8">
      <c r="A22" s="844"/>
      <c r="B22" s="845"/>
      <c r="C22" s="845"/>
    </row>
    <row r="23" spans="1:8">
      <c r="A23" s="844"/>
      <c r="B23" s="845"/>
      <c r="C23" s="845"/>
      <c r="D23" s="846" t="s">
        <v>337</v>
      </c>
    </row>
    <row r="24" spans="1:8" ht="21.6" customHeight="1">
      <c r="A24" s="998" t="s">
        <v>338</v>
      </c>
      <c r="B24" s="998" t="s">
        <v>558</v>
      </c>
      <c r="C24" s="987" t="s">
        <v>348</v>
      </c>
      <c r="D24" s="987"/>
    </row>
    <row r="25" spans="1:8" ht="25.15" customHeight="1">
      <c r="A25" s="998"/>
      <c r="B25" s="998"/>
      <c r="C25" s="862" t="s">
        <v>591</v>
      </c>
      <c r="D25" s="862" t="s">
        <v>716</v>
      </c>
    </row>
    <row r="26" spans="1:8">
      <c r="A26" s="862">
        <v>1</v>
      </c>
      <c r="B26" s="862">
        <v>2</v>
      </c>
      <c r="C26" s="862">
        <v>3</v>
      </c>
      <c r="D26" s="862">
        <v>4</v>
      </c>
    </row>
    <row r="27" spans="1:8" ht="56.25" customHeight="1">
      <c r="A27" s="988" t="s">
        <v>339</v>
      </c>
      <c r="B27" s="863" t="s">
        <v>351</v>
      </c>
      <c r="C27" s="853">
        <f>C29-C30</f>
        <v>0</v>
      </c>
      <c r="D27" s="864">
        <f>D29-D30</f>
        <v>-6816</v>
      </c>
    </row>
    <row r="28" spans="1:8" ht="17.100000000000001" customHeight="1">
      <c r="A28" s="988"/>
      <c r="B28" s="865" t="s">
        <v>236</v>
      </c>
      <c r="C28" s="866"/>
      <c r="D28" s="866"/>
    </row>
    <row r="29" spans="1:8" ht="17.100000000000001" customHeight="1">
      <c r="A29" s="988"/>
      <c r="B29" s="865" t="s">
        <v>349</v>
      </c>
      <c r="C29" s="866">
        <v>0</v>
      </c>
      <c r="D29" s="866">
        <v>0</v>
      </c>
    </row>
    <row r="30" spans="1:8" ht="18" customHeight="1">
      <c r="A30" s="988"/>
      <c r="B30" s="867" t="s">
        <v>350</v>
      </c>
      <c r="C30" s="860">
        <v>0</v>
      </c>
      <c r="D30" s="868">
        <v>6816</v>
      </c>
    </row>
    <row r="31" spans="1:8" ht="16.5" customHeight="1">
      <c r="A31" s="869"/>
      <c r="B31" s="870"/>
      <c r="C31" s="870"/>
      <c r="D31" s="871"/>
    </row>
    <row r="33" spans="1:8" s="211" customFormat="1">
      <c r="A33" s="205" t="s">
        <v>588</v>
      </c>
      <c r="B33" s="206"/>
      <c r="C33" s="207"/>
      <c r="D33" s="207"/>
      <c r="E33" s="207"/>
      <c r="F33" s="208"/>
      <c r="G33" s="209"/>
      <c r="H33" s="210"/>
    </row>
    <row r="34" spans="1:8" s="211" customFormat="1">
      <c r="A34" s="205" t="s">
        <v>589</v>
      </c>
      <c r="B34" s="206"/>
      <c r="C34" s="207"/>
      <c r="E34" s="207"/>
      <c r="F34" s="208"/>
      <c r="G34" s="209"/>
      <c r="H34" s="210"/>
    </row>
    <row r="35" spans="1:8" s="211" customFormat="1">
      <c r="A35" s="212" t="s">
        <v>590</v>
      </c>
      <c r="D35" s="262" t="s">
        <v>641</v>
      </c>
      <c r="E35" s="207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theme="0" tint="-0.499984740745262"/>
    <pageSetUpPr fitToPage="1"/>
  </sheetPr>
  <dimension ref="A1:O25"/>
  <sheetViews>
    <sheetView zoomScale="80" zoomScaleNormal="80" zoomScaleSheetLayoutView="75" workbookViewId="0">
      <selection activeCell="K2" sqref="K2"/>
    </sheetView>
  </sheetViews>
  <sheetFormatPr defaultColWidth="9.140625" defaultRowHeight="18.75"/>
  <cols>
    <col min="1" max="1" width="5.28515625" style="59" customWidth="1"/>
    <col min="2" max="2" width="7" style="59" customWidth="1"/>
    <col min="3" max="3" width="11.28515625" style="59" customWidth="1"/>
    <col min="4" max="4" width="16.28515625" style="59" customWidth="1"/>
    <col min="5" max="5" width="7" style="59" customWidth="1"/>
    <col min="6" max="6" width="6.7109375" style="59" customWidth="1"/>
    <col min="7" max="7" width="7.7109375" style="59" customWidth="1"/>
    <col min="8" max="8" width="16.28515625" style="59" customWidth="1"/>
    <col min="9" max="9" width="16.7109375" style="59" customWidth="1"/>
    <col min="10" max="10" width="15.85546875" style="59" customWidth="1"/>
    <col min="11" max="11" width="11.28515625" style="59" customWidth="1"/>
    <col min="12" max="16384" width="9.140625" style="59"/>
  </cols>
  <sheetData>
    <row r="1" spans="1:15">
      <c r="F1" s="2"/>
      <c r="G1" s="2"/>
      <c r="K1" s="46" t="s">
        <v>769</v>
      </c>
    </row>
    <row r="2" spans="1:15">
      <c r="F2" s="2"/>
      <c r="G2" s="2"/>
      <c r="K2" s="4" t="s">
        <v>903</v>
      </c>
    </row>
    <row r="5" spans="1:15" s="117" customFormat="1">
      <c r="A5" s="1004" t="s">
        <v>352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</row>
    <row r="6" spans="1:15" s="117" customFormat="1">
      <c r="A6" s="1004" t="s">
        <v>770</v>
      </c>
      <c r="B6" s="1005"/>
      <c r="C6" s="1005"/>
      <c r="D6" s="1005"/>
      <c r="E6" s="1005"/>
      <c r="F6" s="1005"/>
      <c r="G6" s="1005"/>
      <c r="H6" s="1005"/>
      <c r="I6" s="1005"/>
      <c r="J6" s="1005"/>
      <c r="K6" s="1005"/>
    </row>
    <row r="7" spans="1:15" s="117" customFormat="1">
      <c r="C7" s="118"/>
      <c r="D7" s="118"/>
      <c r="E7" s="118"/>
      <c r="F7" s="118"/>
      <c r="G7" s="118"/>
      <c r="H7" s="118"/>
      <c r="I7" s="118"/>
      <c r="J7" s="118"/>
      <c r="K7" s="118"/>
    </row>
    <row r="8" spans="1:15" s="117" customFormat="1" ht="39.6" customHeight="1">
      <c r="A8" s="1006" t="s">
        <v>771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7"/>
    </row>
    <row r="9" spans="1:15" s="117" customFormat="1"/>
    <row r="10" spans="1:15" s="117" customFormat="1" ht="38.25" customHeight="1">
      <c r="A10" s="1008" t="s">
        <v>234</v>
      </c>
      <c r="B10" s="1010" t="s">
        <v>559</v>
      </c>
      <c r="C10" s="1011"/>
      <c r="D10" s="1014" t="s">
        <v>353</v>
      </c>
      <c r="E10" s="1016" t="s">
        <v>354</v>
      </c>
      <c r="F10" s="1017"/>
      <c r="G10" s="1018"/>
      <c r="H10" s="1002" t="s">
        <v>355</v>
      </c>
      <c r="I10" s="1019"/>
      <c r="J10" s="1019"/>
      <c r="K10" s="1003"/>
    </row>
    <row r="11" spans="1:15" s="117" customFormat="1" ht="110.45" customHeight="1">
      <c r="A11" s="1009"/>
      <c r="B11" s="1012"/>
      <c r="C11" s="1013"/>
      <c r="D11" s="1015"/>
      <c r="E11" s="231" t="s">
        <v>515</v>
      </c>
      <c r="F11" s="231" t="s">
        <v>591</v>
      </c>
      <c r="G11" s="231" t="s">
        <v>716</v>
      </c>
      <c r="H11" s="231" t="s">
        <v>356</v>
      </c>
      <c r="I11" s="231" t="s">
        <v>357</v>
      </c>
      <c r="J11" s="119" t="s">
        <v>560</v>
      </c>
      <c r="K11" s="231" t="s">
        <v>358</v>
      </c>
      <c r="O11" s="120"/>
    </row>
    <row r="12" spans="1:15" s="117" customFormat="1">
      <c r="A12" s="232">
        <v>1</v>
      </c>
      <c r="B12" s="1002">
        <v>2</v>
      </c>
      <c r="C12" s="1003"/>
      <c r="D12" s="232">
        <v>3</v>
      </c>
      <c r="E12" s="232">
        <v>4</v>
      </c>
      <c r="F12" s="232">
        <v>5</v>
      </c>
      <c r="G12" s="232">
        <v>6</v>
      </c>
      <c r="H12" s="232">
        <v>7</v>
      </c>
      <c r="I12" s="232">
        <v>8</v>
      </c>
      <c r="J12" s="232">
        <v>9</v>
      </c>
      <c r="K12" s="232">
        <v>10</v>
      </c>
    </row>
    <row r="13" spans="1:15" s="117" customFormat="1">
      <c r="A13" s="121"/>
      <c r="B13" s="1002" t="s">
        <v>359</v>
      </c>
      <c r="C13" s="1003"/>
      <c r="D13" s="232" t="s">
        <v>359</v>
      </c>
      <c r="E13" s="232" t="s">
        <v>359</v>
      </c>
      <c r="F13" s="232" t="s">
        <v>359</v>
      </c>
      <c r="G13" s="232" t="s">
        <v>359</v>
      </c>
      <c r="H13" s="232" t="s">
        <v>359</v>
      </c>
      <c r="I13" s="232" t="s">
        <v>359</v>
      </c>
      <c r="J13" s="232" t="s">
        <v>359</v>
      </c>
      <c r="K13" s="232" t="s">
        <v>359</v>
      </c>
    </row>
    <row r="14" spans="1:15" s="117" customFormat="1"/>
    <row r="15" spans="1:15" s="117" customFormat="1" ht="58.9" customHeight="1">
      <c r="A15" s="1006" t="s">
        <v>772</v>
      </c>
      <c r="B15" s="1007"/>
      <c r="C15" s="1007"/>
      <c r="D15" s="1007"/>
      <c r="E15" s="1007"/>
      <c r="F15" s="1007"/>
      <c r="G15" s="1007"/>
      <c r="H15" s="1007"/>
      <c r="I15" s="1007"/>
      <c r="J15" s="1007"/>
      <c r="K15" s="1007"/>
    </row>
    <row r="16" spans="1:15" s="117" customFormat="1"/>
    <row r="17" spans="1:11" s="117" customFormat="1" ht="18.75" customHeight="1">
      <c r="A17" s="1010" t="s">
        <v>360</v>
      </c>
      <c r="B17" s="1020"/>
      <c r="C17" s="1020"/>
      <c r="D17" s="1020"/>
      <c r="E17" s="1020"/>
      <c r="F17" s="1020"/>
      <c r="G17" s="1020"/>
      <c r="H17" s="1021"/>
      <c r="I17" s="1025" t="s">
        <v>361</v>
      </c>
      <c r="J17" s="1026"/>
      <c r="K17" s="1027"/>
    </row>
    <row r="18" spans="1:11" s="117" customFormat="1" ht="42.6" customHeight="1">
      <c r="A18" s="1022"/>
      <c r="B18" s="1023"/>
      <c r="C18" s="1023"/>
      <c r="D18" s="1023"/>
      <c r="E18" s="1023"/>
      <c r="F18" s="1023"/>
      <c r="G18" s="1023"/>
      <c r="H18" s="1024"/>
      <c r="I18" s="231" t="s">
        <v>515</v>
      </c>
      <c r="J18" s="231" t="s">
        <v>591</v>
      </c>
      <c r="K18" s="231" t="s">
        <v>716</v>
      </c>
    </row>
    <row r="19" spans="1:11" s="117" customFormat="1">
      <c r="A19" s="1028">
        <v>1</v>
      </c>
      <c r="B19" s="1029"/>
      <c r="C19" s="1029"/>
      <c r="D19" s="1029"/>
      <c r="E19" s="1029"/>
      <c r="F19" s="1029"/>
      <c r="G19" s="1029"/>
      <c r="H19" s="1030"/>
      <c r="I19" s="122">
        <v>2</v>
      </c>
      <c r="J19" s="122">
        <v>3</v>
      </c>
      <c r="K19" s="122">
        <v>4</v>
      </c>
    </row>
    <row r="20" spans="1:11" s="117" customFormat="1" ht="37.15" customHeight="1">
      <c r="A20" s="999" t="s">
        <v>806</v>
      </c>
      <c r="B20" s="1000"/>
      <c r="C20" s="1000"/>
      <c r="D20" s="1000"/>
      <c r="E20" s="1000"/>
      <c r="F20" s="1000"/>
      <c r="G20" s="1000"/>
      <c r="H20" s="1001"/>
      <c r="I20" s="123" t="s">
        <v>359</v>
      </c>
      <c r="J20" s="232" t="s">
        <v>359</v>
      </c>
      <c r="K20" s="232" t="s">
        <v>359</v>
      </c>
    </row>
    <row r="23" spans="1:11" s="29" customFormat="1">
      <c r="A23" s="96" t="s">
        <v>588</v>
      </c>
      <c r="B23" s="31"/>
      <c r="C23" s="32"/>
      <c r="D23" s="32"/>
      <c r="E23" s="32"/>
      <c r="F23" s="33"/>
      <c r="G23" s="34"/>
      <c r="H23" s="30"/>
    </row>
    <row r="24" spans="1:11" s="29" customFormat="1">
      <c r="A24" s="96" t="s">
        <v>589</v>
      </c>
      <c r="B24" s="31"/>
      <c r="C24" s="32"/>
      <c r="E24" s="32"/>
      <c r="F24" s="33"/>
      <c r="G24" s="34"/>
      <c r="H24" s="30"/>
    </row>
    <row r="25" spans="1:11" s="29" customFormat="1">
      <c r="A25" s="97" t="s">
        <v>590</v>
      </c>
      <c r="E25" s="32"/>
      <c r="K25" s="28" t="s">
        <v>641</v>
      </c>
    </row>
  </sheetData>
  <mergeCells count="15">
    <mergeCell ref="A20:H20"/>
    <mergeCell ref="B12:C12"/>
    <mergeCell ref="A5:K5"/>
    <mergeCell ref="A6:K6"/>
    <mergeCell ref="A8:K8"/>
    <mergeCell ref="A10:A11"/>
    <mergeCell ref="B10:C11"/>
    <mergeCell ref="D10:D11"/>
    <mergeCell ref="E10:G10"/>
    <mergeCell ref="H10:K10"/>
    <mergeCell ref="B13:C13"/>
    <mergeCell ref="A15:K15"/>
    <mergeCell ref="A17:H18"/>
    <mergeCell ref="I17:K17"/>
    <mergeCell ref="A19:H19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tabColor theme="1" tint="0.499984740745262"/>
  </sheetPr>
  <dimension ref="A1:M21"/>
  <sheetViews>
    <sheetView tabSelected="1" topLeftCell="C1" zoomScale="90" zoomScaleNormal="90" workbookViewId="0">
      <selection activeCell="C2" sqref="C2"/>
    </sheetView>
  </sheetViews>
  <sheetFormatPr defaultColWidth="9.140625" defaultRowHeight="18.75"/>
  <cols>
    <col min="1" max="1" width="8.7109375" style="110" customWidth="1"/>
    <col min="2" max="2" width="66.42578125" style="522" customWidth="1"/>
    <col min="3" max="3" width="18.42578125" style="110" customWidth="1"/>
    <col min="4" max="16384" width="9.140625" style="110"/>
  </cols>
  <sheetData>
    <row r="1" spans="1:4" s="539" customFormat="1">
      <c r="C1" s="244" t="s">
        <v>757</v>
      </c>
    </row>
    <row r="2" spans="1:4" s="35" customFormat="1">
      <c r="C2" s="1" t="s">
        <v>904</v>
      </c>
    </row>
    <row r="3" spans="1:4" s="35" customFormat="1">
      <c r="C3" s="1"/>
    </row>
    <row r="4" spans="1:4" s="10" customFormat="1">
      <c r="B4" s="61"/>
      <c r="C4" s="1" t="s">
        <v>853</v>
      </c>
    </row>
    <row r="5" spans="1:4" s="10" customFormat="1">
      <c r="B5" s="61"/>
      <c r="C5" s="1" t="s">
        <v>817</v>
      </c>
    </row>
    <row r="6" spans="1:4" s="10" customFormat="1">
      <c r="B6" s="61"/>
      <c r="C6" s="523"/>
    </row>
    <row r="9" spans="1:4" ht="207.75" customHeight="1">
      <c r="A9" s="1031" t="s">
        <v>878</v>
      </c>
      <c r="B9" s="1031"/>
      <c r="C9" s="1031"/>
      <c r="D9" s="729"/>
    </row>
    <row r="10" spans="1:4">
      <c r="A10" s="111"/>
      <c r="B10" s="112"/>
    </row>
    <row r="11" spans="1:4">
      <c r="A11" s="111"/>
      <c r="B11" s="112"/>
      <c r="C11" s="113" t="s">
        <v>337</v>
      </c>
    </row>
    <row r="12" spans="1:4" ht="37.5">
      <c r="A12" s="114" t="s">
        <v>338</v>
      </c>
      <c r="B12" s="524" t="s">
        <v>851</v>
      </c>
      <c r="C12" s="115" t="s">
        <v>66</v>
      </c>
    </row>
    <row r="13" spans="1:4">
      <c r="A13" s="114">
        <v>1</v>
      </c>
      <c r="B13" s="524">
        <v>2</v>
      </c>
      <c r="C13" s="115">
        <v>3</v>
      </c>
    </row>
    <row r="14" spans="1:4" ht="56.25">
      <c r="A14" s="56" t="s">
        <v>339</v>
      </c>
      <c r="B14" s="743" t="s">
        <v>882</v>
      </c>
      <c r="C14" s="774">
        <v>1254.5999999999999</v>
      </c>
    </row>
    <row r="15" spans="1:4" ht="37.5">
      <c r="A15" s="525" t="s">
        <v>874</v>
      </c>
      <c r="B15" s="542" t="s">
        <v>875</v>
      </c>
      <c r="C15" s="543">
        <v>820.5</v>
      </c>
    </row>
    <row r="16" spans="1:4">
      <c r="A16" s="1032" t="s">
        <v>281</v>
      </c>
      <c r="B16" s="1033"/>
      <c r="C16" s="540">
        <f>SUM(C14:C15)</f>
        <v>2075.1</v>
      </c>
    </row>
    <row r="17" spans="1:13">
      <c r="A17" s="526"/>
      <c r="B17" s="527"/>
      <c r="C17" s="116"/>
    </row>
    <row r="18" spans="1:13">
      <c r="A18" s="526"/>
      <c r="B18" s="527"/>
      <c r="C18" s="116"/>
    </row>
    <row r="19" spans="1:13" s="529" customFormat="1">
      <c r="A19" s="1034" t="s">
        <v>588</v>
      </c>
      <c r="B19" s="1035"/>
      <c r="C19" s="2"/>
      <c r="D19" s="528"/>
      <c r="G19" s="530"/>
    </row>
    <row r="20" spans="1:13" s="535" customFormat="1">
      <c r="A20" s="1034" t="s">
        <v>589</v>
      </c>
      <c r="B20" s="1035"/>
      <c r="C20" s="2"/>
      <c r="D20" s="531"/>
      <c r="E20" s="532"/>
      <c r="F20" s="532"/>
      <c r="G20" s="532"/>
      <c r="H20" s="533"/>
      <c r="I20" s="534"/>
      <c r="L20" s="536"/>
      <c r="M20" s="536"/>
    </row>
    <row r="21" spans="1:13" s="535" customFormat="1">
      <c r="A21" s="1036" t="s">
        <v>590</v>
      </c>
      <c r="B21" s="1035"/>
      <c r="C21" s="537" t="s">
        <v>852</v>
      </c>
      <c r="E21" s="532"/>
      <c r="F21" s="532"/>
      <c r="G21" s="538"/>
      <c r="H21" s="531"/>
      <c r="I21" s="534"/>
      <c r="L21" s="536"/>
      <c r="M21" s="536"/>
    </row>
  </sheetData>
  <mergeCells count="5">
    <mergeCell ref="A9:C9"/>
    <mergeCell ref="A16:B16"/>
    <mergeCell ref="A19:B19"/>
    <mergeCell ref="A20:B20"/>
    <mergeCell ref="A21:B21"/>
  </mergeCells>
  <pageMargins left="1.1811023622047245" right="0.39370078740157483" top="0.78740157480314965" bottom="0.78740157480314965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H130"/>
  <sheetViews>
    <sheetView zoomScale="90" zoomScaleNormal="90" zoomScaleSheetLayoutView="75" workbookViewId="0">
      <selection activeCell="D2" sqref="D2"/>
    </sheetView>
  </sheetViews>
  <sheetFormatPr defaultColWidth="9.140625" defaultRowHeight="18.75"/>
  <cols>
    <col min="1" max="1" width="28.5703125" style="263" customWidth="1"/>
    <col min="2" max="2" width="55.28515625" style="264" customWidth="1"/>
    <col min="3" max="3" width="15.42578125" style="289" customWidth="1"/>
    <col min="4" max="4" width="16" style="263" customWidth="1"/>
    <col min="5" max="16384" width="9.140625" style="263"/>
  </cols>
  <sheetData>
    <row r="1" spans="1:8" s="236" customFormat="1">
      <c r="D1" s="244" t="s">
        <v>452</v>
      </c>
    </row>
    <row r="2" spans="1:8" s="236" customFormat="1">
      <c r="D2" s="244" t="s">
        <v>904</v>
      </c>
    </row>
    <row r="3" spans="1:8" s="236" customFormat="1">
      <c r="D3" s="244"/>
    </row>
    <row r="4" spans="1:8">
      <c r="D4" s="244" t="s">
        <v>497</v>
      </c>
    </row>
    <row r="5" spans="1:8">
      <c r="D5" s="244" t="s">
        <v>817</v>
      </c>
    </row>
    <row r="8" spans="1:8" ht="36" customHeight="1">
      <c r="A8" s="911" t="s">
        <v>715</v>
      </c>
      <c r="B8" s="911"/>
      <c r="C8" s="911"/>
      <c r="D8" s="911"/>
    </row>
    <row r="10" spans="1:8">
      <c r="D10" s="265" t="s">
        <v>75</v>
      </c>
    </row>
    <row r="11" spans="1:8">
      <c r="A11" s="908" t="s">
        <v>64</v>
      </c>
      <c r="B11" s="909" t="s">
        <v>65</v>
      </c>
      <c r="C11" s="907" t="s">
        <v>66</v>
      </c>
      <c r="D11" s="907"/>
    </row>
    <row r="12" spans="1:8" ht="20.45" customHeight="1">
      <c r="A12" s="908"/>
      <c r="B12" s="909"/>
      <c r="C12" s="266" t="s">
        <v>591</v>
      </c>
      <c r="D12" s="266" t="s">
        <v>716</v>
      </c>
    </row>
    <row r="13" spans="1:8">
      <c r="A13" s="547">
        <v>1</v>
      </c>
      <c r="B13" s="548">
        <v>2</v>
      </c>
      <c r="C13" s="550">
        <v>3</v>
      </c>
      <c r="D13" s="550">
        <v>4</v>
      </c>
    </row>
    <row r="14" spans="1:8">
      <c r="A14" s="267" t="s">
        <v>205</v>
      </c>
      <c r="B14" s="292" t="s">
        <v>206</v>
      </c>
      <c r="C14" s="269">
        <f>SUM(C15:C31)</f>
        <v>400427.49999999994</v>
      </c>
      <c r="D14" s="269">
        <f>SUM(D15:D31)</f>
        <v>353930.39999999991</v>
      </c>
      <c r="F14" s="273"/>
      <c r="G14" s="270"/>
      <c r="H14" s="273"/>
    </row>
    <row r="15" spans="1:8">
      <c r="A15" s="140" t="s">
        <v>207</v>
      </c>
      <c r="B15" s="271" t="s">
        <v>208</v>
      </c>
      <c r="C15" s="272">
        <v>3737.7</v>
      </c>
      <c r="D15" s="293">
        <v>4098.3999999999996</v>
      </c>
    </row>
    <row r="16" spans="1:8">
      <c r="A16" s="140" t="s">
        <v>209</v>
      </c>
      <c r="B16" s="274" t="s">
        <v>210</v>
      </c>
      <c r="C16" s="272">
        <f>283856.8-6240+1560+14700</f>
        <v>293876.8</v>
      </c>
      <c r="D16" s="293">
        <v>252083.3</v>
      </c>
    </row>
    <row r="17" spans="1:4" ht="127.15" customHeight="1">
      <c r="A17" s="275" t="s">
        <v>211</v>
      </c>
      <c r="B17" s="276" t="s">
        <v>603</v>
      </c>
      <c r="C17" s="272">
        <v>4174.1000000000004</v>
      </c>
      <c r="D17" s="293">
        <v>4240.8</v>
      </c>
    </row>
    <row r="18" spans="1:4" ht="37.5">
      <c r="A18" s="140" t="s">
        <v>441</v>
      </c>
      <c r="B18" s="276" t="s">
        <v>442</v>
      </c>
      <c r="C18" s="272">
        <v>31706</v>
      </c>
      <c r="D18" s="293">
        <v>35193.699999999997</v>
      </c>
    </row>
    <row r="19" spans="1:4" ht="37.5">
      <c r="A19" s="140" t="s">
        <v>212</v>
      </c>
      <c r="B19" s="276" t="s">
        <v>470</v>
      </c>
      <c r="C19" s="272">
        <v>19376</v>
      </c>
      <c r="D19" s="293">
        <v>10000</v>
      </c>
    </row>
    <row r="20" spans="1:4">
      <c r="A20" s="140" t="s">
        <v>213</v>
      </c>
      <c r="B20" s="274" t="s">
        <v>214</v>
      </c>
      <c r="C20" s="272">
        <v>100</v>
      </c>
      <c r="D20" s="293">
        <v>100</v>
      </c>
    </row>
    <row r="21" spans="1:4" ht="37.5">
      <c r="A21" s="140" t="s">
        <v>215</v>
      </c>
      <c r="B21" s="276" t="s">
        <v>216</v>
      </c>
      <c r="C21" s="272">
        <v>793.7</v>
      </c>
      <c r="D21" s="293">
        <v>873</v>
      </c>
    </row>
    <row r="22" spans="1:4">
      <c r="A22" s="140" t="s">
        <v>217</v>
      </c>
      <c r="B22" s="274" t="s">
        <v>218</v>
      </c>
      <c r="C22" s="272">
        <v>8320</v>
      </c>
      <c r="D22" s="293">
        <v>8400</v>
      </c>
    </row>
    <row r="23" spans="1:4" ht="93.75">
      <c r="A23" s="140" t="s">
        <v>219</v>
      </c>
      <c r="B23" s="294" t="s">
        <v>220</v>
      </c>
      <c r="C23" s="272">
        <v>152.6</v>
      </c>
      <c r="D23" s="295">
        <v>152.6</v>
      </c>
    </row>
    <row r="24" spans="1:4" ht="112.5">
      <c r="A24" s="140" t="s">
        <v>221</v>
      </c>
      <c r="B24" s="276" t="s">
        <v>222</v>
      </c>
      <c r="C24" s="272">
        <v>20560</v>
      </c>
      <c r="D24" s="293">
        <v>21260</v>
      </c>
    </row>
    <row r="25" spans="1:4" ht="56.25" customHeight="1">
      <c r="A25" s="140" t="s">
        <v>436</v>
      </c>
      <c r="B25" s="276" t="s">
        <v>39</v>
      </c>
      <c r="C25" s="272">
        <v>1886.8</v>
      </c>
      <c r="D25" s="293">
        <v>1886.8</v>
      </c>
    </row>
    <row r="26" spans="1:4" ht="95.25" customHeight="1">
      <c r="A26" s="140" t="s">
        <v>223</v>
      </c>
      <c r="B26" s="276" t="s">
        <v>224</v>
      </c>
      <c r="C26" s="272">
        <v>17</v>
      </c>
      <c r="D26" s="293">
        <v>17</v>
      </c>
    </row>
    <row r="27" spans="1:4" ht="131.25">
      <c r="A27" s="140" t="s">
        <v>511</v>
      </c>
      <c r="B27" s="276" t="s">
        <v>512</v>
      </c>
      <c r="C27" s="272">
        <v>234.8</v>
      </c>
      <c r="D27" s="293">
        <v>234.8</v>
      </c>
    </row>
    <row r="28" spans="1:4" ht="37.5">
      <c r="A28" s="140" t="s">
        <v>225</v>
      </c>
      <c r="B28" s="276" t="s">
        <v>226</v>
      </c>
      <c r="C28" s="272">
        <v>1700</v>
      </c>
      <c r="D28" s="293">
        <v>1700</v>
      </c>
    </row>
    <row r="29" spans="1:4" ht="37.5">
      <c r="A29" s="140" t="s">
        <v>638</v>
      </c>
      <c r="B29" s="277" t="s">
        <v>737</v>
      </c>
      <c r="C29" s="272">
        <v>1200</v>
      </c>
      <c r="D29" s="293">
        <v>1200</v>
      </c>
    </row>
    <row r="30" spans="1:4" ht="37.5">
      <c r="A30" s="140" t="s">
        <v>227</v>
      </c>
      <c r="B30" s="276" t="s">
        <v>228</v>
      </c>
      <c r="C30" s="272">
        <v>5492</v>
      </c>
      <c r="D30" s="293">
        <v>5390</v>
      </c>
    </row>
    <row r="31" spans="1:4">
      <c r="A31" s="275" t="s">
        <v>229</v>
      </c>
      <c r="B31" s="276" t="s">
        <v>230</v>
      </c>
      <c r="C31" s="272">
        <v>7100</v>
      </c>
      <c r="D31" s="293">
        <v>7100</v>
      </c>
    </row>
    <row r="32" spans="1:4" ht="29.45" customHeight="1">
      <c r="A32" s="278" t="s">
        <v>67</v>
      </c>
      <c r="B32" s="279" t="s">
        <v>443</v>
      </c>
      <c r="C32" s="280">
        <f>C33</f>
        <v>862224.69999999972</v>
      </c>
      <c r="D32" s="280">
        <f>D33</f>
        <v>882586.2999999997</v>
      </c>
    </row>
    <row r="33" spans="1:8" ht="42.6" customHeight="1">
      <c r="A33" s="281" t="s">
        <v>68</v>
      </c>
      <c r="B33" s="282" t="s">
        <v>69</v>
      </c>
      <c r="C33" s="283">
        <f>C34+C36+C35</f>
        <v>862224.69999999972</v>
      </c>
      <c r="D33" s="283">
        <f>D34+D36+D35</f>
        <v>882586.2999999997</v>
      </c>
    </row>
    <row r="34" spans="1:8" s="285" customFormat="1" ht="37.5">
      <c r="A34" s="281" t="s">
        <v>718</v>
      </c>
      <c r="B34" s="284" t="s">
        <v>501</v>
      </c>
      <c r="C34" s="283">
        <f>'прил.5 (пост.безв.20-21)'!C16</f>
        <v>120674.6</v>
      </c>
      <c r="D34" s="283">
        <f>'прил.5 (пост.безв.20-21)'!D16</f>
        <v>138375.5</v>
      </c>
    </row>
    <row r="35" spans="1:8" s="285" customFormat="1" ht="56.25">
      <c r="A35" s="140" t="s">
        <v>720</v>
      </c>
      <c r="B35" s="276" t="s">
        <v>430</v>
      </c>
      <c r="C35" s="283">
        <f>'прил.5 (пост.безв.20-21)'!C19</f>
        <v>3759.6</v>
      </c>
      <c r="D35" s="283">
        <f>'прил.5 (пост.безв.20-21)'!D19</f>
        <v>3750.2</v>
      </c>
    </row>
    <row r="36" spans="1:8" ht="37.5">
      <c r="A36" s="286" t="s">
        <v>722</v>
      </c>
      <c r="B36" s="284" t="s">
        <v>500</v>
      </c>
      <c r="C36" s="283">
        <f>'прил.5 (пост.безв.20-21)'!C23</f>
        <v>737790.49999999977</v>
      </c>
      <c r="D36" s="283">
        <f>'прил.5 (пост.безв.20-21)'!D23</f>
        <v>740460.59999999974</v>
      </c>
    </row>
    <row r="37" spans="1:8">
      <c r="A37" s="287"/>
      <c r="B37" s="279" t="s">
        <v>232</v>
      </c>
      <c r="C37" s="580">
        <f>C32+C14</f>
        <v>1262652.1999999997</v>
      </c>
      <c r="D37" s="580">
        <f>D32+D14</f>
        <v>1236516.6999999997</v>
      </c>
    </row>
    <row r="38" spans="1:8" ht="60.6" customHeight="1">
      <c r="A38" s="910" t="s">
        <v>444</v>
      </c>
      <c r="B38" s="910"/>
      <c r="C38" s="910"/>
      <c r="D38" s="910"/>
    </row>
    <row r="39" spans="1:8">
      <c r="A39" s="288"/>
    </row>
    <row r="40" spans="1:8">
      <c r="A40" s="288"/>
    </row>
    <row r="41" spans="1:8" s="211" customFormat="1">
      <c r="A41" s="205" t="s">
        <v>588</v>
      </c>
      <c r="B41" s="206"/>
      <c r="C41" s="207"/>
      <c r="D41" s="207"/>
      <c r="E41" s="207"/>
      <c r="F41" s="208"/>
      <c r="G41" s="209"/>
      <c r="H41" s="210"/>
    </row>
    <row r="42" spans="1:8" s="211" customFormat="1">
      <c r="A42" s="205" t="s">
        <v>589</v>
      </c>
      <c r="B42" s="206"/>
      <c r="C42" s="207"/>
      <c r="D42" s="207"/>
      <c r="E42" s="207"/>
      <c r="F42" s="208"/>
      <c r="G42" s="209"/>
      <c r="H42" s="210"/>
    </row>
    <row r="43" spans="1:8" s="211" customFormat="1">
      <c r="A43" s="212" t="s">
        <v>590</v>
      </c>
      <c r="B43" s="206"/>
      <c r="D43" s="262" t="s">
        <v>641</v>
      </c>
      <c r="E43" s="207"/>
      <c r="F43" s="208"/>
    </row>
    <row r="45" spans="1:8">
      <c r="B45" s="290"/>
      <c r="C45" s="291"/>
    </row>
    <row r="46" spans="1:8">
      <c r="B46" s="290"/>
      <c r="C46" s="291"/>
    </row>
    <row r="53" spans="2:3">
      <c r="B53" s="263"/>
      <c r="C53" s="263"/>
    </row>
    <row r="54" spans="2:3">
      <c r="B54" s="263"/>
      <c r="C54" s="263"/>
    </row>
    <row r="55" spans="2:3">
      <c r="B55" s="263"/>
      <c r="C55" s="263"/>
    </row>
    <row r="56" spans="2:3">
      <c r="B56" s="263"/>
      <c r="C56" s="263"/>
    </row>
    <row r="57" spans="2:3">
      <c r="B57" s="263"/>
      <c r="C57" s="263"/>
    </row>
    <row r="58" spans="2:3">
      <c r="B58" s="263"/>
      <c r="C58" s="263"/>
    </row>
    <row r="59" spans="2:3">
      <c r="B59" s="263"/>
      <c r="C59" s="263"/>
    </row>
    <row r="60" spans="2:3">
      <c r="B60" s="263"/>
      <c r="C60" s="263"/>
    </row>
    <row r="61" spans="2:3">
      <c r="B61" s="263"/>
      <c r="C61" s="263"/>
    </row>
    <row r="62" spans="2:3">
      <c r="B62" s="263"/>
      <c r="C62" s="263"/>
    </row>
    <row r="63" spans="2:3">
      <c r="B63" s="263"/>
      <c r="C63" s="263"/>
    </row>
    <row r="64" spans="2:3">
      <c r="B64" s="263"/>
      <c r="C64" s="263"/>
    </row>
    <row r="65" spans="2:3">
      <c r="B65" s="263"/>
      <c r="C65" s="263"/>
    </row>
    <row r="66" spans="2:3">
      <c r="B66" s="263"/>
      <c r="C66" s="263"/>
    </row>
    <row r="67" spans="2:3">
      <c r="B67" s="263"/>
      <c r="C67" s="263"/>
    </row>
    <row r="68" spans="2:3">
      <c r="B68" s="263"/>
      <c r="C68" s="263"/>
    </row>
    <row r="69" spans="2:3">
      <c r="B69" s="263"/>
      <c r="C69" s="263"/>
    </row>
    <row r="70" spans="2:3">
      <c r="B70" s="263"/>
      <c r="C70" s="263"/>
    </row>
    <row r="71" spans="2:3">
      <c r="B71" s="263"/>
      <c r="C71" s="263"/>
    </row>
    <row r="72" spans="2:3">
      <c r="B72" s="263"/>
      <c r="C72" s="263"/>
    </row>
    <row r="73" spans="2:3">
      <c r="B73" s="263"/>
      <c r="C73" s="263"/>
    </row>
    <row r="74" spans="2:3">
      <c r="B74" s="263"/>
      <c r="C74" s="263"/>
    </row>
    <row r="75" spans="2:3">
      <c r="B75" s="263"/>
      <c r="C75" s="263"/>
    </row>
    <row r="76" spans="2:3">
      <c r="B76" s="263"/>
      <c r="C76" s="263"/>
    </row>
    <row r="77" spans="2:3">
      <c r="B77" s="263"/>
      <c r="C77" s="263"/>
    </row>
    <row r="78" spans="2:3">
      <c r="B78" s="263"/>
      <c r="C78" s="263"/>
    </row>
    <row r="79" spans="2:3">
      <c r="B79" s="263"/>
      <c r="C79" s="263"/>
    </row>
    <row r="80" spans="2:3">
      <c r="B80" s="263"/>
      <c r="C80" s="263"/>
    </row>
    <row r="81" spans="2:3">
      <c r="B81" s="263"/>
      <c r="C81" s="263"/>
    </row>
    <row r="82" spans="2:3">
      <c r="B82" s="263"/>
      <c r="C82" s="263"/>
    </row>
    <row r="83" spans="2:3">
      <c r="B83" s="263"/>
      <c r="C83" s="263"/>
    </row>
    <row r="84" spans="2:3">
      <c r="B84" s="263"/>
      <c r="C84" s="263"/>
    </row>
    <row r="85" spans="2:3">
      <c r="B85" s="263"/>
      <c r="C85" s="263"/>
    </row>
    <row r="86" spans="2:3">
      <c r="B86" s="263"/>
      <c r="C86" s="263"/>
    </row>
    <row r="87" spans="2:3">
      <c r="B87" s="263"/>
      <c r="C87" s="263"/>
    </row>
    <row r="88" spans="2:3">
      <c r="B88" s="263"/>
      <c r="C88" s="263"/>
    </row>
    <row r="89" spans="2:3">
      <c r="B89" s="263"/>
      <c r="C89" s="263"/>
    </row>
    <row r="90" spans="2:3">
      <c r="B90" s="263"/>
      <c r="C90" s="263"/>
    </row>
    <row r="91" spans="2:3">
      <c r="B91" s="263"/>
      <c r="C91" s="263"/>
    </row>
    <row r="92" spans="2:3">
      <c r="B92" s="263"/>
      <c r="C92" s="263"/>
    </row>
    <row r="93" spans="2:3">
      <c r="B93" s="263"/>
      <c r="C93" s="263"/>
    </row>
    <row r="94" spans="2:3">
      <c r="B94" s="263"/>
      <c r="C94" s="263"/>
    </row>
    <row r="95" spans="2:3">
      <c r="B95" s="263"/>
      <c r="C95" s="263"/>
    </row>
    <row r="96" spans="2:3">
      <c r="B96" s="263"/>
      <c r="C96" s="263"/>
    </row>
    <row r="97" spans="2:3">
      <c r="B97" s="263"/>
      <c r="C97" s="263"/>
    </row>
    <row r="98" spans="2:3">
      <c r="B98" s="263"/>
      <c r="C98" s="263"/>
    </row>
    <row r="99" spans="2:3">
      <c r="B99" s="263"/>
      <c r="C99" s="263"/>
    </row>
    <row r="100" spans="2:3">
      <c r="B100" s="263"/>
      <c r="C100" s="263"/>
    </row>
    <row r="101" spans="2:3">
      <c r="B101" s="263"/>
      <c r="C101" s="263"/>
    </row>
    <row r="102" spans="2:3">
      <c r="B102" s="263"/>
      <c r="C102" s="263"/>
    </row>
    <row r="103" spans="2:3">
      <c r="B103" s="263"/>
      <c r="C103" s="263"/>
    </row>
    <row r="104" spans="2:3">
      <c r="B104" s="263"/>
      <c r="C104" s="263"/>
    </row>
    <row r="105" spans="2:3">
      <c r="B105" s="263"/>
      <c r="C105" s="263"/>
    </row>
    <row r="106" spans="2:3">
      <c r="B106" s="263"/>
      <c r="C106" s="263"/>
    </row>
    <row r="107" spans="2:3">
      <c r="B107" s="263"/>
      <c r="C107" s="263"/>
    </row>
    <row r="108" spans="2:3">
      <c r="B108" s="263"/>
      <c r="C108" s="263"/>
    </row>
    <row r="109" spans="2:3">
      <c r="B109" s="263"/>
      <c r="C109" s="263"/>
    </row>
    <row r="110" spans="2:3">
      <c r="B110" s="263"/>
      <c r="C110" s="263"/>
    </row>
    <row r="111" spans="2:3">
      <c r="B111" s="263"/>
      <c r="C111" s="263"/>
    </row>
    <row r="112" spans="2:3">
      <c r="B112" s="263"/>
      <c r="C112" s="263"/>
    </row>
    <row r="113" spans="2:3">
      <c r="B113" s="263"/>
      <c r="C113" s="263"/>
    </row>
    <row r="114" spans="2:3">
      <c r="B114" s="263"/>
      <c r="C114" s="263"/>
    </row>
    <row r="115" spans="2:3">
      <c r="B115" s="263"/>
      <c r="C115" s="263"/>
    </row>
    <row r="116" spans="2:3">
      <c r="B116" s="263"/>
      <c r="C116" s="263"/>
    </row>
    <row r="117" spans="2:3">
      <c r="B117" s="263"/>
      <c r="C117" s="263"/>
    </row>
    <row r="118" spans="2:3">
      <c r="B118" s="263"/>
      <c r="C118" s="263"/>
    </row>
    <row r="119" spans="2:3">
      <c r="B119" s="263"/>
      <c r="C119" s="263"/>
    </row>
    <row r="120" spans="2:3">
      <c r="B120" s="263"/>
      <c r="C120" s="263"/>
    </row>
    <row r="121" spans="2:3">
      <c r="B121" s="263"/>
      <c r="C121" s="263"/>
    </row>
    <row r="122" spans="2:3">
      <c r="B122" s="263"/>
      <c r="C122" s="263"/>
    </row>
    <row r="123" spans="2:3">
      <c r="B123" s="263"/>
      <c r="C123" s="263"/>
    </row>
    <row r="124" spans="2:3">
      <c r="B124" s="263"/>
      <c r="C124" s="263"/>
    </row>
    <row r="125" spans="2:3">
      <c r="B125" s="263"/>
      <c r="C125" s="263"/>
    </row>
    <row r="126" spans="2:3">
      <c r="B126" s="263"/>
      <c r="C126" s="263"/>
    </row>
    <row r="127" spans="2:3">
      <c r="B127" s="263"/>
      <c r="C127" s="263"/>
    </row>
    <row r="128" spans="2:3">
      <c r="B128" s="263"/>
      <c r="C128" s="263"/>
    </row>
    <row r="129" spans="2:3">
      <c r="B129" s="263"/>
      <c r="C129" s="263"/>
    </row>
    <row r="130" spans="2:3">
      <c r="B130" s="263"/>
      <c r="C130" s="263"/>
    </row>
  </sheetData>
  <mergeCells count="5">
    <mergeCell ref="C11:D11"/>
    <mergeCell ref="A11:A12"/>
    <mergeCell ref="B11:B12"/>
    <mergeCell ref="A38:D38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4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M421"/>
  <sheetViews>
    <sheetView zoomScale="68" zoomScaleNormal="68" workbookViewId="0">
      <selection activeCell="C2" sqref="C2"/>
    </sheetView>
  </sheetViews>
  <sheetFormatPr defaultColWidth="8.85546875" defaultRowHeight="18.75"/>
  <cols>
    <col min="1" max="1" width="29.85546875" style="234" customWidth="1"/>
    <col min="2" max="2" width="71.7109375" style="234" customWidth="1"/>
    <col min="3" max="3" width="13" style="329" customWidth="1"/>
    <col min="4" max="4" width="11.28515625" style="234" customWidth="1"/>
    <col min="5" max="5" width="15.5703125" style="234" customWidth="1"/>
    <col min="6" max="6" width="8.85546875" style="234"/>
    <col min="7" max="7" width="10.7109375" style="234" customWidth="1"/>
    <col min="8" max="16384" width="8.85546875" style="234"/>
  </cols>
  <sheetData>
    <row r="1" spans="1:4">
      <c r="C1" s="244" t="s">
        <v>497</v>
      </c>
    </row>
    <row r="2" spans="1:4">
      <c r="C2" s="244" t="s">
        <v>904</v>
      </c>
    </row>
    <row r="4" spans="1:4">
      <c r="C4" s="244" t="s">
        <v>694</v>
      </c>
    </row>
    <row r="5" spans="1:4">
      <c r="C5" s="244" t="s">
        <v>817</v>
      </c>
    </row>
    <row r="8" spans="1:4">
      <c r="A8" s="912" t="s">
        <v>717</v>
      </c>
      <c r="B8" s="912"/>
      <c r="C8" s="912"/>
    </row>
    <row r="9" spans="1:4">
      <c r="A9" s="549"/>
      <c r="B9" s="549"/>
      <c r="C9" s="297"/>
    </row>
    <row r="10" spans="1:4">
      <c r="C10" s="298" t="s">
        <v>75</v>
      </c>
    </row>
    <row r="11" spans="1:4">
      <c r="A11" s="299" t="s">
        <v>64</v>
      </c>
      <c r="B11" s="299" t="s">
        <v>65</v>
      </c>
      <c r="C11" s="300" t="s">
        <v>66</v>
      </c>
    </row>
    <row r="12" spans="1:4">
      <c r="A12" s="301">
        <v>1</v>
      </c>
      <c r="B12" s="301">
        <v>2</v>
      </c>
      <c r="C12" s="302">
        <v>3</v>
      </c>
    </row>
    <row r="13" spans="1:4">
      <c r="A13" s="251" t="s">
        <v>67</v>
      </c>
      <c r="B13" s="303" t="s">
        <v>443</v>
      </c>
      <c r="C13" s="304">
        <f>C14</f>
        <v>1002421.5</v>
      </c>
      <c r="D13" s="329"/>
    </row>
    <row r="14" spans="1:4" ht="37.5">
      <c r="A14" s="252" t="s">
        <v>68</v>
      </c>
      <c r="B14" s="305" t="s">
        <v>69</v>
      </c>
      <c r="C14" s="306">
        <f>C15+C39+C20</f>
        <v>1002421.5</v>
      </c>
    </row>
    <row r="15" spans="1:4" ht="37.5">
      <c r="A15" s="252" t="s">
        <v>718</v>
      </c>
      <c r="B15" s="305" t="s">
        <v>498</v>
      </c>
      <c r="C15" s="306">
        <f>C16+C18</f>
        <v>172898.9</v>
      </c>
    </row>
    <row r="16" spans="1:4">
      <c r="A16" s="252" t="s">
        <v>719</v>
      </c>
      <c r="B16" s="305" t="s">
        <v>70</v>
      </c>
      <c r="C16" s="306">
        <f>C17</f>
        <v>167450.5</v>
      </c>
    </row>
    <row r="17" spans="1:4" ht="37.5">
      <c r="A17" s="252" t="s">
        <v>704</v>
      </c>
      <c r="B17" s="305" t="s">
        <v>29</v>
      </c>
      <c r="C17" s="306">
        <v>167450.5</v>
      </c>
    </row>
    <row r="18" spans="1:4" ht="37.5">
      <c r="A18" s="252" t="s">
        <v>858</v>
      </c>
      <c r="B18" s="305" t="s">
        <v>857</v>
      </c>
      <c r="C18" s="306">
        <f>C19</f>
        <v>5448.4</v>
      </c>
      <c r="D18" s="234" t="s">
        <v>871</v>
      </c>
    </row>
    <row r="19" spans="1:4" ht="41.25" customHeight="1">
      <c r="A19" s="252" t="s">
        <v>705</v>
      </c>
      <c r="B19" s="521" t="s">
        <v>30</v>
      </c>
      <c r="C19" s="306">
        <f>5448.4</f>
        <v>5448.4</v>
      </c>
      <c r="D19" s="234" t="s">
        <v>871</v>
      </c>
    </row>
    <row r="20" spans="1:4" ht="37.5">
      <c r="A20" s="252" t="s">
        <v>720</v>
      </c>
      <c r="B20" s="307" t="s">
        <v>564</v>
      </c>
      <c r="C20" s="306">
        <f>C29+C27+C25+C21</f>
        <v>70332.899999999994</v>
      </c>
    </row>
    <row r="21" spans="1:4" ht="37.5">
      <c r="A21" s="252" t="s">
        <v>870</v>
      </c>
      <c r="B21" s="307" t="s">
        <v>869</v>
      </c>
      <c r="C21" s="306">
        <f>C22</f>
        <v>39413.9</v>
      </c>
      <c r="D21" s="310" t="s">
        <v>598</v>
      </c>
    </row>
    <row r="22" spans="1:4" ht="56.25">
      <c r="A22" s="739" t="s">
        <v>855</v>
      </c>
      <c r="B22" s="740" t="s">
        <v>879</v>
      </c>
      <c r="C22" s="737">
        <f>C23+C24</f>
        <v>39413.9</v>
      </c>
      <c r="D22" s="310" t="s">
        <v>598</v>
      </c>
    </row>
    <row r="23" spans="1:4" ht="37.5">
      <c r="A23" s="739"/>
      <c r="B23" s="741" t="s">
        <v>881</v>
      </c>
      <c r="C23" s="742">
        <v>15577</v>
      </c>
      <c r="D23" s="310"/>
    </row>
    <row r="24" spans="1:4" ht="96.6" customHeight="1">
      <c r="A24" s="739"/>
      <c r="B24" s="741" t="s">
        <v>880</v>
      </c>
      <c r="C24" s="742">
        <v>23836.9</v>
      </c>
      <c r="D24" s="310"/>
    </row>
    <row r="25" spans="1:4" ht="56.25">
      <c r="A25" s="252" t="s">
        <v>848</v>
      </c>
      <c r="B25" s="307" t="s">
        <v>849</v>
      </c>
      <c r="C25" s="306">
        <f>C26</f>
        <v>6404.8</v>
      </c>
    </row>
    <row r="26" spans="1:4" ht="75">
      <c r="A26" s="252" t="s">
        <v>847</v>
      </c>
      <c r="B26" s="307" t="s">
        <v>850</v>
      </c>
      <c r="C26" s="306">
        <v>6404.8</v>
      </c>
    </row>
    <row r="27" spans="1:4">
      <c r="A27" s="252" t="s">
        <v>832</v>
      </c>
      <c r="B27" s="307" t="s">
        <v>830</v>
      </c>
      <c r="C27" s="306">
        <f>C28</f>
        <v>63.5</v>
      </c>
      <c r="D27" s="310" t="s">
        <v>831</v>
      </c>
    </row>
    <row r="28" spans="1:4" ht="37.5">
      <c r="A28" s="252" t="s">
        <v>712</v>
      </c>
      <c r="B28" s="307" t="s">
        <v>582</v>
      </c>
      <c r="C28" s="306">
        <v>63.5</v>
      </c>
      <c r="D28" s="310" t="s">
        <v>831</v>
      </c>
    </row>
    <row r="29" spans="1:4">
      <c r="A29" s="257" t="s">
        <v>721</v>
      </c>
      <c r="B29" s="307" t="s">
        <v>428</v>
      </c>
      <c r="C29" s="306">
        <f>C30</f>
        <v>24450.7</v>
      </c>
    </row>
    <row r="30" spans="1:4" ht="37.5">
      <c r="A30" s="257" t="s">
        <v>701</v>
      </c>
      <c r="B30" s="307" t="s">
        <v>429</v>
      </c>
      <c r="C30" s="306">
        <f>SUM(C31:C38)</f>
        <v>24450.7</v>
      </c>
    </row>
    <row r="31" spans="1:4" ht="56.25">
      <c r="A31" s="308"/>
      <c r="B31" s="309" t="s">
        <v>645</v>
      </c>
      <c r="C31" s="306">
        <v>740</v>
      </c>
      <c r="D31" s="310" t="s">
        <v>596</v>
      </c>
    </row>
    <row r="32" spans="1:4" ht="93" customHeight="1">
      <c r="A32" s="308"/>
      <c r="B32" s="309" t="s">
        <v>736</v>
      </c>
      <c r="C32" s="306">
        <v>3803.3</v>
      </c>
      <c r="D32" s="310" t="s">
        <v>599</v>
      </c>
    </row>
    <row r="33" spans="1:6" ht="51" customHeight="1">
      <c r="A33" s="308"/>
      <c r="B33" s="823" t="s">
        <v>900</v>
      </c>
      <c r="C33" s="824">
        <f>1600+1600</f>
        <v>3200</v>
      </c>
      <c r="D33" s="310" t="s">
        <v>599</v>
      </c>
      <c r="F33" s="310"/>
    </row>
    <row r="34" spans="1:6" ht="57" customHeight="1">
      <c r="A34" s="308"/>
      <c r="B34" s="309" t="s">
        <v>834</v>
      </c>
      <c r="C34" s="737">
        <f>1691.5+485</f>
        <v>2176.5</v>
      </c>
      <c r="D34" s="310" t="s">
        <v>596</v>
      </c>
      <c r="F34" s="310"/>
    </row>
    <row r="35" spans="1:6" ht="187.5">
      <c r="A35" s="308"/>
      <c r="B35" s="309" t="s">
        <v>846</v>
      </c>
      <c r="C35" s="306">
        <v>2002.6</v>
      </c>
      <c r="D35" s="310" t="s">
        <v>872</v>
      </c>
      <c r="F35" s="310"/>
    </row>
    <row r="36" spans="1:6" ht="37.5">
      <c r="A36" s="308"/>
      <c r="B36" s="309" t="s">
        <v>877</v>
      </c>
      <c r="C36" s="306">
        <v>40</v>
      </c>
      <c r="D36" s="310" t="s">
        <v>831</v>
      </c>
      <c r="F36" s="310"/>
    </row>
    <row r="37" spans="1:6" ht="37.5">
      <c r="A37" s="308"/>
      <c r="B37" s="309" t="s">
        <v>889</v>
      </c>
      <c r="C37" s="306">
        <f>1342.2+1655.4</f>
        <v>2997.6000000000004</v>
      </c>
      <c r="D37" s="310"/>
      <c r="F37" s="310"/>
    </row>
    <row r="38" spans="1:6" ht="144" customHeight="1">
      <c r="A38" s="308"/>
      <c r="B38" s="309" t="s">
        <v>901</v>
      </c>
      <c r="C38" s="306">
        <f>9490.7</f>
        <v>9490.7000000000007</v>
      </c>
      <c r="D38" s="310" t="s">
        <v>599</v>
      </c>
      <c r="F38" s="310"/>
    </row>
    <row r="39" spans="1:6" ht="37.5">
      <c r="A39" s="252" t="s">
        <v>722</v>
      </c>
      <c r="B39" s="305" t="s">
        <v>499</v>
      </c>
      <c r="C39" s="306">
        <f>C40+C67+C71+C75+C73</f>
        <v>759189.7</v>
      </c>
    </row>
    <row r="40" spans="1:6" ht="56.25">
      <c r="A40" s="252" t="s">
        <v>723</v>
      </c>
      <c r="B40" s="305" t="s">
        <v>71</v>
      </c>
      <c r="C40" s="306">
        <f>C41</f>
        <v>682723.79999999993</v>
      </c>
    </row>
    <row r="41" spans="1:6" ht="56.25">
      <c r="A41" s="252" t="s">
        <v>702</v>
      </c>
      <c r="B41" s="305" t="s">
        <v>72</v>
      </c>
      <c r="C41" s="306">
        <f>SUM(C42:C51,C54:C57,C59:C66)</f>
        <v>682723.79999999993</v>
      </c>
    </row>
    <row r="42" spans="1:6" ht="56.25">
      <c r="A42" s="301"/>
      <c r="B42" s="309" t="s">
        <v>73</v>
      </c>
      <c r="C42" s="311">
        <f>2489.7+9</f>
        <v>2498.6999999999998</v>
      </c>
      <c r="D42" s="310" t="s">
        <v>596</v>
      </c>
    </row>
    <row r="43" spans="1:6" ht="168.75">
      <c r="A43" s="301"/>
      <c r="B43" s="309" t="s">
        <v>731</v>
      </c>
      <c r="C43" s="311">
        <v>617.1</v>
      </c>
      <c r="D43" s="310" t="s">
        <v>596</v>
      </c>
    </row>
    <row r="44" spans="1:6" ht="93.75">
      <c r="A44" s="301"/>
      <c r="B44" s="309" t="s">
        <v>730</v>
      </c>
      <c r="C44" s="311">
        <v>617.29999999999995</v>
      </c>
      <c r="D44" s="310" t="s">
        <v>596</v>
      </c>
    </row>
    <row r="45" spans="1:6" ht="75">
      <c r="A45" s="301"/>
      <c r="B45" s="309" t="s">
        <v>74</v>
      </c>
      <c r="C45" s="311">
        <v>66</v>
      </c>
      <c r="D45" s="310" t="s">
        <v>596</v>
      </c>
    </row>
    <row r="46" spans="1:6" ht="150">
      <c r="A46" s="301"/>
      <c r="B46" s="309" t="s">
        <v>585</v>
      </c>
      <c r="C46" s="311">
        <v>66</v>
      </c>
      <c r="D46" s="310" t="s">
        <v>596</v>
      </c>
    </row>
    <row r="47" spans="1:6" ht="150">
      <c r="A47" s="301"/>
      <c r="B47" s="309" t="s">
        <v>586</v>
      </c>
      <c r="C47" s="311">
        <f>11860+5401</f>
        <v>17261</v>
      </c>
      <c r="D47" s="310" t="s">
        <v>596</v>
      </c>
    </row>
    <row r="48" spans="1:6" ht="131.25">
      <c r="A48" s="301"/>
      <c r="B48" s="309" t="s">
        <v>595</v>
      </c>
      <c r="C48" s="311">
        <f>98.5+81.7</f>
        <v>180.2</v>
      </c>
      <c r="D48" s="310" t="s">
        <v>596</v>
      </c>
    </row>
    <row r="49" spans="1:4" s="316" customFormat="1" ht="375">
      <c r="A49" s="312"/>
      <c r="B49" s="313" t="s">
        <v>597</v>
      </c>
      <c r="C49" s="314">
        <v>8508.1</v>
      </c>
      <c r="D49" s="315" t="s">
        <v>598</v>
      </c>
    </row>
    <row r="50" spans="1:4" s="316" customFormat="1" ht="168.75">
      <c r="A50" s="317"/>
      <c r="B50" s="318" t="s">
        <v>633</v>
      </c>
      <c r="C50" s="311">
        <f>29771.7+12944.3-342.3-8193.5</f>
        <v>34180.199999999997</v>
      </c>
      <c r="D50" s="315" t="s">
        <v>598</v>
      </c>
    </row>
    <row r="51" spans="1:4" ht="93.75">
      <c r="A51" s="317"/>
      <c r="B51" s="309" t="s">
        <v>502</v>
      </c>
      <c r="C51" s="311">
        <f>SUM(C52:C53)</f>
        <v>602350</v>
      </c>
      <c r="D51" s="310" t="s">
        <v>599</v>
      </c>
    </row>
    <row r="52" spans="1:4" ht="37.5">
      <c r="A52" s="308" t="s">
        <v>365</v>
      </c>
      <c r="B52" s="309" t="s">
        <v>367</v>
      </c>
      <c r="C52" s="319">
        <f>201087.9+5533.7</f>
        <v>206621.6</v>
      </c>
      <c r="D52" s="310" t="s">
        <v>599</v>
      </c>
    </row>
    <row r="53" spans="1:4">
      <c r="A53" s="317"/>
      <c r="B53" s="320" t="s">
        <v>368</v>
      </c>
      <c r="C53" s="319">
        <f>382696.5+7280.8+5751.1</f>
        <v>395728.39999999997</v>
      </c>
      <c r="D53" s="310" t="s">
        <v>599</v>
      </c>
    </row>
    <row r="54" spans="1:4" ht="75">
      <c r="A54" s="317"/>
      <c r="B54" s="309" t="s">
        <v>366</v>
      </c>
      <c r="C54" s="822">
        <f>4235.7-150</f>
        <v>4085.7</v>
      </c>
      <c r="D54" s="310" t="s">
        <v>599</v>
      </c>
    </row>
    <row r="55" spans="1:4" ht="206.25">
      <c r="A55" s="317"/>
      <c r="B55" s="318" t="s">
        <v>835</v>
      </c>
      <c r="C55" s="311">
        <f>2072.1+298.6</f>
        <v>2370.6999999999998</v>
      </c>
      <c r="D55" s="310" t="s">
        <v>599</v>
      </c>
    </row>
    <row r="56" spans="1:4" ht="150">
      <c r="A56" s="317"/>
      <c r="B56" s="318" t="s">
        <v>695</v>
      </c>
      <c r="C56" s="311">
        <v>125</v>
      </c>
      <c r="D56" s="310" t="s">
        <v>599</v>
      </c>
    </row>
    <row r="57" spans="1:4" ht="168.75">
      <c r="A57" s="317"/>
      <c r="B57" s="309" t="s">
        <v>369</v>
      </c>
      <c r="C57" s="311">
        <f>C58</f>
        <v>2420.8000000000002</v>
      </c>
      <c r="D57" s="310" t="s">
        <v>599</v>
      </c>
    </row>
    <row r="58" spans="1:4" ht="75">
      <c r="A58" s="308" t="s">
        <v>365</v>
      </c>
      <c r="B58" s="309" t="s">
        <v>733</v>
      </c>
      <c r="C58" s="311">
        <v>2420.8000000000002</v>
      </c>
      <c r="D58" s="310" t="s">
        <v>599</v>
      </c>
    </row>
    <row r="59" spans="1:4" s="316" customFormat="1" ht="75">
      <c r="A59" s="317"/>
      <c r="B59" s="309" t="s">
        <v>402</v>
      </c>
      <c r="C59" s="311">
        <f>4763.5+21</f>
        <v>4784.5</v>
      </c>
      <c r="D59" s="310" t="s">
        <v>600</v>
      </c>
    </row>
    <row r="60" spans="1:4" s="316" customFormat="1" ht="225">
      <c r="A60" s="317"/>
      <c r="B60" s="309" t="s">
        <v>403</v>
      </c>
      <c r="C60" s="311">
        <f>841+6</f>
        <v>847</v>
      </c>
      <c r="D60" s="310" t="s">
        <v>600</v>
      </c>
    </row>
    <row r="61" spans="1:4" s="316" customFormat="1" ht="262.5">
      <c r="A61" s="317"/>
      <c r="B61" s="309" t="s">
        <v>732</v>
      </c>
      <c r="C61" s="311">
        <f>231-66</f>
        <v>165</v>
      </c>
      <c r="D61" s="310" t="s">
        <v>600</v>
      </c>
    </row>
    <row r="62" spans="1:4" s="316" customFormat="1" ht="150">
      <c r="A62" s="317"/>
      <c r="B62" s="321" t="s">
        <v>533</v>
      </c>
      <c r="C62" s="311">
        <v>5.2</v>
      </c>
      <c r="D62" s="310" t="s">
        <v>600</v>
      </c>
    </row>
    <row r="63" spans="1:4" s="316" customFormat="1" ht="93.75">
      <c r="A63" s="317"/>
      <c r="B63" s="309" t="s">
        <v>528</v>
      </c>
      <c r="C63" s="311">
        <v>493</v>
      </c>
      <c r="D63" s="310" t="s">
        <v>600</v>
      </c>
    </row>
    <row r="64" spans="1:4" s="316" customFormat="1" ht="75">
      <c r="A64" s="317"/>
      <c r="B64" s="309" t="s">
        <v>532</v>
      </c>
      <c r="C64" s="311">
        <v>449.4</v>
      </c>
      <c r="D64" s="310" t="s">
        <v>600</v>
      </c>
    </row>
    <row r="65" spans="1:8" s="316" customFormat="1" ht="131.25">
      <c r="A65" s="317"/>
      <c r="B65" s="309" t="s">
        <v>529</v>
      </c>
      <c r="C65" s="311">
        <v>15.6</v>
      </c>
      <c r="D65" s="310" t="s">
        <v>600</v>
      </c>
    </row>
    <row r="66" spans="1:8" s="316" customFormat="1" ht="56.25">
      <c r="A66" s="317"/>
      <c r="B66" s="309" t="s">
        <v>594</v>
      </c>
      <c r="C66" s="311">
        <f>614.3+3</f>
        <v>617.29999999999995</v>
      </c>
      <c r="D66" s="310" t="s">
        <v>600</v>
      </c>
    </row>
    <row r="67" spans="1:8" ht="56.25">
      <c r="A67" s="257" t="s">
        <v>724</v>
      </c>
      <c r="B67" s="307" t="s">
        <v>404</v>
      </c>
      <c r="C67" s="322">
        <f>C68</f>
        <v>59192.800000000003</v>
      </c>
      <c r="D67" s="310" t="s">
        <v>600</v>
      </c>
    </row>
    <row r="68" spans="1:8" ht="75">
      <c r="A68" s="257" t="s">
        <v>713</v>
      </c>
      <c r="B68" s="307" t="s">
        <v>405</v>
      </c>
      <c r="C68" s="322">
        <f>SUM(C69:C70)</f>
        <v>59192.800000000003</v>
      </c>
      <c r="D68" s="310" t="s">
        <v>600</v>
      </c>
    </row>
    <row r="69" spans="1:8" ht="131.25">
      <c r="A69" s="317"/>
      <c r="B69" s="309" t="s">
        <v>530</v>
      </c>
      <c r="C69" s="311">
        <v>33015.800000000003</v>
      </c>
      <c r="D69" s="310" t="s">
        <v>600</v>
      </c>
    </row>
    <row r="70" spans="1:8" ht="75">
      <c r="A70" s="317"/>
      <c r="B70" s="323" t="s">
        <v>531</v>
      </c>
      <c r="C70" s="311">
        <v>26177</v>
      </c>
      <c r="D70" s="310" t="s">
        <v>600</v>
      </c>
    </row>
    <row r="71" spans="1:8" ht="93.75">
      <c r="A71" s="257" t="s">
        <v>725</v>
      </c>
      <c r="B71" s="305" t="s">
        <v>364</v>
      </c>
      <c r="C71" s="322">
        <f>C72</f>
        <v>9069.2000000000007</v>
      </c>
      <c r="D71" s="310" t="s">
        <v>599</v>
      </c>
    </row>
    <row r="72" spans="1:8" ht="97.5" customHeight="1">
      <c r="A72" s="257" t="s">
        <v>711</v>
      </c>
      <c r="B72" s="521" t="s">
        <v>56</v>
      </c>
      <c r="C72" s="322">
        <v>9069.2000000000007</v>
      </c>
      <c r="D72" s="310" t="s">
        <v>599</v>
      </c>
    </row>
    <row r="73" spans="1:8" ht="80.25" customHeight="1">
      <c r="A73" s="257" t="s">
        <v>837</v>
      </c>
      <c r="B73" s="521" t="s">
        <v>838</v>
      </c>
      <c r="C73" s="322">
        <f>C74</f>
        <v>8193.5</v>
      </c>
      <c r="D73" s="310"/>
    </row>
    <row r="74" spans="1:8" ht="80.25" customHeight="1">
      <c r="A74" s="257" t="s">
        <v>707</v>
      </c>
      <c r="B74" s="521" t="s">
        <v>48</v>
      </c>
      <c r="C74" s="322">
        <v>8193.5</v>
      </c>
      <c r="D74" s="310" t="s">
        <v>598</v>
      </c>
    </row>
    <row r="75" spans="1:8" ht="75">
      <c r="A75" s="252" t="s">
        <v>726</v>
      </c>
      <c r="B75" s="324" t="s">
        <v>632</v>
      </c>
      <c r="C75" s="306">
        <f>C76</f>
        <v>10.4</v>
      </c>
      <c r="D75" s="310" t="s">
        <v>596</v>
      </c>
    </row>
    <row r="76" spans="1:8" ht="75">
      <c r="A76" s="252" t="s">
        <v>703</v>
      </c>
      <c r="B76" s="324" t="s">
        <v>566</v>
      </c>
      <c r="C76" s="306">
        <f>5.9+4.5</f>
        <v>10.4</v>
      </c>
      <c r="D76" s="310" t="s">
        <v>596</v>
      </c>
    </row>
    <row r="77" spans="1:8">
      <c r="A77" s="325"/>
      <c r="B77" s="326"/>
      <c r="C77" s="327"/>
    </row>
    <row r="78" spans="1:8">
      <c r="A78" s="325"/>
      <c r="B78" s="326"/>
      <c r="C78" s="327"/>
    </row>
    <row r="79" spans="1:8" s="333" customFormat="1">
      <c r="A79" s="330" t="s">
        <v>588</v>
      </c>
      <c r="B79" s="328"/>
      <c r="C79" s="208"/>
      <c r="D79" s="208"/>
      <c r="E79" s="208"/>
      <c r="F79" s="208"/>
      <c r="G79" s="331"/>
      <c r="H79" s="332"/>
    </row>
    <row r="80" spans="1:8" s="333" customFormat="1">
      <c r="A80" s="330" t="s">
        <v>589</v>
      </c>
      <c r="B80" s="328"/>
      <c r="C80" s="208"/>
      <c r="D80" s="208"/>
      <c r="E80" s="208"/>
      <c r="F80" s="208"/>
      <c r="G80" s="331"/>
      <c r="H80" s="332"/>
    </row>
    <row r="81" spans="1:6" s="333" customFormat="1">
      <c r="A81" s="334" t="s">
        <v>590</v>
      </c>
      <c r="B81" s="328"/>
      <c r="C81" s="335" t="s">
        <v>641</v>
      </c>
      <c r="D81" s="208"/>
      <c r="E81" s="208"/>
      <c r="F81" s="208"/>
    </row>
    <row r="420" spans="12:13">
      <c r="L420" s="234">
        <v>135.4</v>
      </c>
      <c r="M420" s="234">
        <v>140.9</v>
      </c>
    </row>
    <row r="421" spans="12:13">
      <c r="L421" s="234">
        <v>27088.9</v>
      </c>
      <c r="M421" s="234">
        <v>28171.4</v>
      </c>
    </row>
  </sheetData>
  <autoFilter ref="B1:D421"/>
  <mergeCells count="1">
    <mergeCell ref="A8:C8"/>
  </mergeCells>
  <printOptions horizontalCentered="1"/>
  <pageMargins left="1.1811023622047245" right="0.39370078740157483" top="0.6692913385826772" bottom="0.39370078740157483" header="0.31496062992125984" footer="0.31496062992125984"/>
  <pageSetup paperSize="9" scale="74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M409"/>
  <sheetViews>
    <sheetView zoomScale="73" zoomScaleNormal="73" workbookViewId="0">
      <selection activeCell="D2" sqref="D2"/>
    </sheetView>
  </sheetViews>
  <sheetFormatPr defaultColWidth="8.85546875" defaultRowHeight="18.75"/>
  <cols>
    <col min="1" max="1" width="28.85546875" style="234" customWidth="1"/>
    <col min="2" max="2" width="70.85546875" style="234" customWidth="1"/>
    <col min="3" max="3" width="13.28515625" style="329" customWidth="1"/>
    <col min="4" max="4" width="12.28515625" style="234" customWidth="1"/>
    <col min="5" max="5" width="11.28515625" style="234" customWidth="1"/>
    <col min="6" max="6" width="12.85546875" style="234" customWidth="1"/>
    <col min="7" max="16384" width="8.85546875" style="234"/>
  </cols>
  <sheetData>
    <row r="1" spans="1:6">
      <c r="D1" s="244" t="s">
        <v>694</v>
      </c>
    </row>
    <row r="2" spans="1:6">
      <c r="D2" s="244" t="s">
        <v>903</v>
      </c>
    </row>
    <row r="4" spans="1:6">
      <c r="D4" s="244" t="s">
        <v>573</v>
      </c>
    </row>
    <row r="5" spans="1:6">
      <c r="D5" s="1" t="s">
        <v>817</v>
      </c>
    </row>
    <row r="8" spans="1:6">
      <c r="A8" s="912" t="s">
        <v>735</v>
      </c>
      <c r="B8" s="912"/>
      <c r="C8" s="912"/>
      <c r="D8" s="912"/>
    </row>
    <row r="9" spans="1:6">
      <c r="A9" s="296"/>
      <c r="B9" s="296"/>
      <c r="C9" s="297"/>
    </row>
    <row r="10" spans="1:6">
      <c r="D10" s="298" t="s">
        <v>75</v>
      </c>
    </row>
    <row r="11" spans="1:6">
      <c r="A11" s="915" t="s">
        <v>64</v>
      </c>
      <c r="B11" s="915" t="s">
        <v>65</v>
      </c>
      <c r="C11" s="913" t="s">
        <v>66</v>
      </c>
      <c r="D11" s="914"/>
    </row>
    <row r="12" spans="1:6">
      <c r="A12" s="916"/>
      <c r="B12" s="916"/>
      <c r="C12" s="300" t="s">
        <v>591</v>
      </c>
      <c r="D12" s="300" t="s">
        <v>716</v>
      </c>
    </row>
    <row r="13" spans="1:6">
      <c r="A13" s="301">
        <v>1</v>
      </c>
      <c r="B13" s="301">
        <v>2</v>
      </c>
      <c r="C13" s="302">
        <v>3</v>
      </c>
      <c r="D13" s="302">
        <v>4</v>
      </c>
    </row>
    <row r="14" spans="1:6">
      <c r="A14" s="251" t="s">
        <v>67</v>
      </c>
      <c r="B14" s="303" t="s">
        <v>443</v>
      </c>
      <c r="C14" s="304">
        <f>C15</f>
        <v>862224.69999999972</v>
      </c>
      <c r="D14" s="304">
        <f>D15</f>
        <v>882586.2999999997</v>
      </c>
      <c r="E14" s="329"/>
      <c r="F14" s="329"/>
    </row>
    <row r="15" spans="1:6" ht="37.5">
      <c r="A15" s="252" t="s">
        <v>68</v>
      </c>
      <c r="B15" s="305" t="s">
        <v>69</v>
      </c>
      <c r="C15" s="306">
        <f>C16+C23+C19</f>
        <v>862224.69999999972</v>
      </c>
      <c r="D15" s="306">
        <f>D16+D23+D19</f>
        <v>882586.2999999997</v>
      </c>
    </row>
    <row r="16" spans="1:6" ht="37.5">
      <c r="A16" s="252" t="s">
        <v>718</v>
      </c>
      <c r="B16" s="305" t="s">
        <v>498</v>
      </c>
      <c r="C16" s="306">
        <f>C17</f>
        <v>120674.6</v>
      </c>
      <c r="D16" s="306">
        <f>D17</f>
        <v>138375.5</v>
      </c>
    </row>
    <row r="17" spans="1:5">
      <c r="A17" s="252" t="s">
        <v>719</v>
      </c>
      <c r="B17" s="305" t="s">
        <v>70</v>
      </c>
      <c r="C17" s="306">
        <f>C18</f>
        <v>120674.6</v>
      </c>
      <c r="D17" s="306">
        <f>D18</f>
        <v>138375.5</v>
      </c>
    </row>
    <row r="18" spans="1:5" ht="37.5">
      <c r="A18" s="252" t="s">
        <v>704</v>
      </c>
      <c r="B18" s="305" t="s">
        <v>29</v>
      </c>
      <c r="C18" s="306">
        <v>120674.6</v>
      </c>
      <c r="D18" s="306">
        <v>138375.5</v>
      </c>
    </row>
    <row r="19" spans="1:5" ht="37.5">
      <c r="A19" s="252" t="s">
        <v>720</v>
      </c>
      <c r="B19" s="307" t="s">
        <v>564</v>
      </c>
      <c r="C19" s="306">
        <f>C20</f>
        <v>3759.6</v>
      </c>
      <c r="D19" s="306">
        <f>D20</f>
        <v>3750.2</v>
      </c>
    </row>
    <row r="20" spans="1:5">
      <c r="A20" s="257" t="s">
        <v>721</v>
      </c>
      <c r="B20" s="307" t="s">
        <v>428</v>
      </c>
      <c r="C20" s="306">
        <f>C21</f>
        <v>3759.6</v>
      </c>
      <c r="D20" s="306">
        <f>D21</f>
        <v>3750.2</v>
      </c>
    </row>
    <row r="21" spans="1:5" ht="37.5">
      <c r="A21" s="257" t="s">
        <v>701</v>
      </c>
      <c r="B21" s="307" t="s">
        <v>429</v>
      </c>
      <c r="C21" s="306">
        <f>SUM(C22:C22)</f>
        <v>3759.6</v>
      </c>
      <c r="D21" s="306">
        <f>SUM(D22:D22)</f>
        <v>3750.2</v>
      </c>
    </row>
    <row r="22" spans="1:5" ht="112.5">
      <c r="A22" s="308"/>
      <c r="B22" s="309" t="s">
        <v>736</v>
      </c>
      <c r="C22" s="306">
        <v>3759.6</v>
      </c>
      <c r="D22" s="306">
        <v>3750.2</v>
      </c>
      <c r="E22" s="310" t="s">
        <v>599</v>
      </c>
    </row>
    <row r="23" spans="1:5" ht="37.5">
      <c r="A23" s="252" t="s">
        <v>722</v>
      </c>
      <c r="B23" s="305" t="s">
        <v>499</v>
      </c>
      <c r="C23" s="306">
        <f>C24+C50+C54+C58+C56</f>
        <v>737790.49999999977</v>
      </c>
      <c r="D23" s="306">
        <f>D24+D50+D54+D58+D56</f>
        <v>740460.59999999974</v>
      </c>
    </row>
    <row r="24" spans="1:5" ht="56.25">
      <c r="A24" s="252" t="s">
        <v>723</v>
      </c>
      <c r="B24" s="305" t="s">
        <v>71</v>
      </c>
      <c r="C24" s="306">
        <f>C25</f>
        <v>658955.89999999979</v>
      </c>
      <c r="D24" s="306">
        <f>D25</f>
        <v>659171.29999999981</v>
      </c>
    </row>
    <row r="25" spans="1:5" ht="56.25">
      <c r="A25" s="252" t="s">
        <v>702</v>
      </c>
      <c r="B25" s="305" t="s">
        <v>72</v>
      </c>
      <c r="C25" s="306">
        <f>SUM(C26:C34,C37:C40,C42:C49)</f>
        <v>658955.89999999979</v>
      </c>
      <c r="D25" s="306">
        <f>SUM(D26:D34,D37:D40,D42:D49)</f>
        <v>659171.29999999981</v>
      </c>
    </row>
    <row r="26" spans="1:5" ht="75">
      <c r="A26" s="301"/>
      <c r="B26" s="309" t="s">
        <v>73</v>
      </c>
      <c r="C26" s="311">
        <f>2489.7+9</f>
        <v>2498.6999999999998</v>
      </c>
      <c r="D26" s="311">
        <f>2489.7+9</f>
        <v>2498.6999999999998</v>
      </c>
      <c r="E26" s="310" t="s">
        <v>596</v>
      </c>
    </row>
    <row r="27" spans="1:5" ht="187.5">
      <c r="A27" s="301"/>
      <c r="B27" s="309" t="s">
        <v>731</v>
      </c>
      <c r="C27" s="311">
        <v>617.1</v>
      </c>
      <c r="D27" s="311">
        <v>617.1</v>
      </c>
      <c r="E27" s="310" t="s">
        <v>596</v>
      </c>
    </row>
    <row r="28" spans="1:5" ht="93.75">
      <c r="A28" s="301"/>
      <c r="B28" s="309" t="s">
        <v>730</v>
      </c>
      <c r="C28" s="311">
        <v>617.29999999999995</v>
      </c>
      <c r="D28" s="311">
        <v>617.29999999999995</v>
      </c>
      <c r="E28" s="310" t="s">
        <v>596</v>
      </c>
    </row>
    <row r="29" spans="1:5" ht="75">
      <c r="A29" s="301"/>
      <c r="B29" s="309" t="s">
        <v>74</v>
      </c>
      <c r="C29" s="311">
        <v>66</v>
      </c>
      <c r="D29" s="311">
        <v>66</v>
      </c>
      <c r="E29" s="310" t="s">
        <v>596</v>
      </c>
    </row>
    <row r="30" spans="1:5" ht="150">
      <c r="A30" s="301"/>
      <c r="B30" s="309" t="s">
        <v>585</v>
      </c>
      <c r="C30" s="311">
        <v>66</v>
      </c>
      <c r="D30" s="311">
        <v>66</v>
      </c>
      <c r="E30" s="310" t="s">
        <v>596</v>
      </c>
    </row>
    <row r="31" spans="1:5" ht="150">
      <c r="A31" s="301"/>
      <c r="B31" s="309" t="s">
        <v>586</v>
      </c>
      <c r="C31" s="311">
        <v>11860</v>
      </c>
      <c r="D31" s="311">
        <v>11860</v>
      </c>
      <c r="E31" s="310" t="s">
        <v>596</v>
      </c>
    </row>
    <row r="32" spans="1:5" ht="150">
      <c r="A32" s="301"/>
      <c r="B32" s="309" t="s">
        <v>595</v>
      </c>
      <c r="C32" s="311">
        <v>98.5</v>
      </c>
      <c r="D32" s="311">
        <v>98.5</v>
      </c>
      <c r="E32" s="310" t="s">
        <v>596</v>
      </c>
    </row>
    <row r="33" spans="1:5" s="316" customFormat="1" ht="168.75">
      <c r="A33" s="825"/>
      <c r="B33" s="826" t="s">
        <v>633</v>
      </c>
      <c r="C33" s="822">
        <f>31066.2+372.4-8193.5+12302</f>
        <v>35547.100000000006</v>
      </c>
      <c r="D33" s="822">
        <f>32360.6-922-8193.5+12302</f>
        <v>35547.1</v>
      </c>
      <c r="E33" s="315" t="s">
        <v>598</v>
      </c>
    </row>
    <row r="34" spans="1:5" ht="112.5">
      <c r="A34" s="317"/>
      <c r="B34" s="309" t="s">
        <v>502</v>
      </c>
      <c r="C34" s="311">
        <f>SUM(C35:C36)</f>
        <v>591065.19999999995</v>
      </c>
      <c r="D34" s="311">
        <f>SUM(D35:D36)</f>
        <v>591065.19999999995</v>
      </c>
      <c r="E34" s="310" t="s">
        <v>599</v>
      </c>
    </row>
    <row r="35" spans="1:5" ht="37.5">
      <c r="A35" s="308" t="s">
        <v>365</v>
      </c>
      <c r="B35" s="309" t="s">
        <v>367</v>
      </c>
      <c r="C35" s="319">
        <v>201087.9</v>
      </c>
      <c r="D35" s="319">
        <v>201087.9</v>
      </c>
      <c r="E35" s="310" t="s">
        <v>599</v>
      </c>
    </row>
    <row r="36" spans="1:5">
      <c r="A36" s="317"/>
      <c r="B36" s="320" t="s">
        <v>368</v>
      </c>
      <c r="C36" s="319">
        <f>382696.5+7280.8</f>
        <v>389977.3</v>
      </c>
      <c r="D36" s="319">
        <f>382696.5+7280.8</f>
        <v>389977.3</v>
      </c>
      <c r="E36" s="310" t="s">
        <v>599</v>
      </c>
    </row>
    <row r="37" spans="1:5" ht="75">
      <c r="A37" s="317"/>
      <c r="B37" s="309" t="s">
        <v>366</v>
      </c>
      <c r="C37" s="311">
        <v>4326.2</v>
      </c>
      <c r="D37" s="311">
        <v>4401.8</v>
      </c>
      <c r="E37" s="310" t="s">
        <v>599</v>
      </c>
    </row>
    <row r="38" spans="1:5" ht="206.25">
      <c r="A38" s="317"/>
      <c r="B38" s="318" t="s">
        <v>835</v>
      </c>
      <c r="C38" s="311">
        <v>2072.1</v>
      </c>
      <c r="D38" s="311">
        <v>2072.1</v>
      </c>
      <c r="E38" s="310" t="s">
        <v>599</v>
      </c>
    </row>
    <row r="39" spans="1:5" ht="168.75">
      <c r="A39" s="317"/>
      <c r="B39" s="318" t="s">
        <v>695</v>
      </c>
      <c r="C39" s="311">
        <v>125</v>
      </c>
      <c r="D39" s="311">
        <v>125</v>
      </c>
      <c r="E39" s="310" t="s">
        <v>599</v>
      </c>
    </row>
    <row r="40" spans="1:5" ht="168.75">
      <c r="A40" s="317"/>
      <c r="B40" s="309" t="s">
        <v>369</v>
      </c>
      <c r="C40" s="311">
        <f>C41</f>
        <v>2516</v>
      </c>
      <c r="D40" s="311">
        <f>D41</f>
        <v>2616.6</v>
      </c>
      <c r="E40" s="310" t="s">
        <v>599</v>
      </c>
    </row>
    <row r="41" spans="1:5" ht="75">
      <c r="A41" s="308" t="s">
        <v>365</v>
      </c>
      <c r="B41" s="309" t="s">
        <v>733</v>
      </c>
      <c r="C41" s="311">
        <v>2516</v>
      </c>
      <c r="D41" s="311">
        <v>2616.6</v>
      </c>
      <c r="E41" s="310" t="s">
        <v>599</v>
      </c>
    </row>
    <row r="42" spans="1:5" s="316" customFormat="1" ht="75">
      <c r="A42" s="317"/>
      <c r="B42" s="309" t="s">
        <v>402</v>
      </c>
      <c r="C42" s="311">
        <f>4763.5+21</f>
        <v>4784.5</v>
      </c>
      <c r="D42" s="311">
        <f>4763.5+21</f>
        <v>4784.5</v>
      </c>
      <c r="E42" s="310" t="s">
        <v>600</v>
      </c>
    </row>
    <row r="43" spans="1:5" s="316" customFormat="1" ht="243.75">
      <c r="A43" s="317"/>
      <c r="B43" s="309" t="s">
        <v>403</v>
      </c>
      <c r="C43" s="311">
        <f>841+6</f>
        <v>847</v>
      </c>
      <c r="D43" s="311">
        <f>841+6</f>
        <v>847</v>
      </c>
      <c r="E43" s="310" t="s">
        <v>600</v>
      </c>
    </row>
    <row r="44" spans="1:5" s="316" customFormat="1" ht="262.5">
      <c r="A44" s="317"/>
      <c r="B44" s="309" t="s">
        <v>732</v>
      </c>
      <c r="C44" s="311">
        <v>231</v>
      </c>
      <c r="D44" s="311">
        <v>231</v>
      </c>
      <c r="E44" s="310" t="s">
        <v>600</v>
      </c>
    </row>
    <row r="45" spans="1:5" s="316" customFormat="1" ht="168.75">
      <c r="A45" s="317"/>
      <c r="B45" s="321" t="s">
        <v>533</v>
      </c>
      <c r="C45" s="311">
        <v>5.2</v>
      </c>
      <c r="D45" s="311">
        <v>5.2</v>
      </c>
      <c r="E45" s="310" t="s">
        <v>600</v>
      </c>
    </row>
    <row r="46" spans="1:5" s="316" customFormat="1" ht="93.75">
      <c r="A46" s="317"/>
      <c r="B46" s="309" t="s">
        <v>528</v>
      </c>
      <c r="C46" s="311">
        <v>512.70000000000005</v>
      </c>
      <c r="D46" s="311">
        <v>533.20000000000005</v>
      </c>
      <c r="E46" s="310" t="s">
        <v>600</v>
      </c>
    </row>
    <row r="47" spans="1:5" s="316" customFormat="1" ht="75">
      <c r="A47" s="317"/>
      <c r="B47" s="309" t="s">
        <v>532</v>
      </c>
      <c r="C47" s="311">
        <v>467.4</v>
      </c>
      <c r="D47" s="311">
        <v>486.1</v>
      </c>
      <c r="E47" s="310" t="s">
        <v>600</v>
      </c>
    </row>
    <row r="48" spans="1:5" s="316" customFormat="1" ht="131.25">
      <c r="A48" s="317"/>
      <c r="B48" s="309" t="s">
        <v>529</v>
      </c>
      <c r="C48" s="311">
        <v>15.6</v>
      </c>
      <c r="D48" s="311">
        <v>15.6</v>
      </c>
      <c r="E48" s="310" t="s">
        <v>600</v>
      </c>
    </row>
    <row r="49" spans="1:8" s="316" customFormat="1" ht="56.25">
      <c r="A49" s="317"/>
      <c r="B49" s="309" t="s">
        <v>594</v>
      </c>
      <c r="C49" s="311">
        <f>614.3+3</f>
        <v>617.29999999999995</v>
      </c>
      <c r="D49" s="311">
        <f>614.3+3</f>
        <v>617.29999999999995</v>
      </c>
      <c r="E49" s="310" t="s">
        <v>600</v>
      </c>
    </row>
    <row r="50" spans="1:8" ht="56.25">
      <c r="A50" s="257" t="s">
        <v>724</v>
      </c>
      <c r="B50" s="307" t="s">
        <v>404</v>
      </c>
      <c r="C50" s="322">
        <f>C51</f>
        <v>61561.100000000006</v>
      </c>
      <c r="D50" s="322">
        <f>D51</f>
        <v>64021.899999999994</v>
      </c>
      <c r="E50" s="310" t="s">
        <v>600</v>
      </c>
    </row>
    <row r="51" spans="1:8" ht="75">
      <c r="A51" s="257" t="s">
        <v>713</v>
      </c>
      <c r="B51" s="307" t="s">
        <v>405</v>
      </c>
      <c r="C51" s="322">
        <f>SUM(C52:C53)</f>
        <v>61561.100000000006</v>
      </c>
      <c r="D51" s="322">
        <f>SUM(D52:D53)</f>
        <v>64021.899999999994</v>
      </c>
      <c r="E51" s="310" t="s">
        <v>600</v>
      </c>
    </row>
    <row r="52" spans="1:8" ht="131.25">
      <c r="A52" s="317"/>
      <c r="B52" s="323" t="s">
        <v>530</v>
      </c>
      <c r="C52" s="311">
        <v>34336.800000000003</v>
      </c>
      <c r="D52" s="311">
        <v>35709.599999999999</v>
      </c>
      <c r="E52" s="310" t="s">
        <v>600</v>
      </c>
    </row>
    <row r="53" spans="1:8" ht="75">
      <c r="A53" s="317"/>
      <c r="B53" s="323" t="s">
        <v>531</v>
      </c>
      <c r="C53" s="311">
        <v>27224.3</v>
      </c>
      <c r="D53" s="311">
        <v>28312.3</v>
      </c>
      <c r="E53" s="310" t="s">
        <v>600</v>
      </c>
    </row>
    <row r="54" spans="1:8" ht="93.75">
      <c r="A54" s="257" t="s">
        <v>725</v>
      </c>
      <c r="B54" s="305" t="s">
        <v>364</v>
      </c>
      <c r="C54" s="322">
        <f>C55</f>
        <v>9069.2000000000007</v>
      </c>
      <c r="D54" s="322">
        <f>D55</f>
        <v>9069.2000000000007</v>
      </c>
      <c r="E54" s="310" t="s">
        <v>599</v>
      </c>
    </row>
    <row r="55" spans="1:8" ht="112.5">
      <c r="A55" s="257" t="s">
        <v>711</v>
      </c>
      <c r="B55" s="305" t="s">
        <v>56</v>
      </c>
      <c r="C55" s="322">
        <v>9069.2000000000007</v>
      </c>
      <c r="D55" s="322">
        <v>9069.2000000000007</v>
      </c>
      <c r="E55" s="310" t="s">
        <v>599</v>
      </c>
    </row>
    <row r="56" spans="1:8" s="517" customFormat="1" ht="93.75">
      <c r="A56" s="518" t="s">
        <v>837</v>
      </c>
      <c r="B56" s="520" t="s">
        <v>838</v>
      </c>
      <c r="C56" s="519">
        <f>C57</f>
        <v>8193.5</v>
      </c>
      <c r="D56" s="519">
        <f>D57</f>
        <v>8193.5</v>
      </c>
    </row>
    <row r="57" spans="1:8" s="517" customFormat="1" ht="81" customHeight="1">
      <c r="A57" s="518" t="s">
        <v>707</v>
      </c>
      <c r="B57" s="520" t="s">
        <v>48</v>
      </c>
      <c r="C57" s="519">
        <v>8193.5</v>
      </c>
      <c r="D57" s="519">
        <v>8193.5</v>
      </c>
      <c r="E57" s="517" t="s">
        <v>598</v>
      </c>
    </row>
    <row r="58" spans="1:8" ht="75">
      <c r="A58" s="252" t="s">
        <v>726</v>
      </c>
      <c r="B58" s="324" t="s">
        <v>632</v>
      </c>
      <c r="C58" s="306">
        <f>C59</f>
        <v>10.8</v>
      </c>
      <c r="D58" s="306">
        <f>D59</f>
        <v>4.7</v>
      </c>
      <c r="E58" s="310" t="s">
        <v>596</v>
      </c>
    </row>
    <row r="59" spans="1:8" ht="93.75">
      <c r="A59" s="252" t="s">
        <v>703</v>
      </c>
      <c r="B59" s="324" t="s">
        <v>566</v>
      </c>
      <c r="C59" s="306">
        <f>9.5+1.3</f>
        <v>10.8</v>
      </c>
      <c r="D59" s="306">
        <f>9.5-4.8</f>
        <v>4.7</v>
      </c>
      <c r="E59" s="310" t="s">
        <v>596</v>
      </c>
    </row>
    <row r="60" spans="1:8">
      <c r="A60" s="325"/>
      <c r="B60" s="326"/>
      <c r="C60" s="327"/>
    </row>
    <row r="61" spans="1:8">
      <c r="A61" s="325"/>
      <c r="B61" s="326"/>
      <c r="C61" s="327"/>
    </row>
    <row r="62" spans="1:8" s="333" customFormat="1">
      <c r="A62" s="330" t="s">
        <v>588</v>
      </c>
      <c r="B62" s="328"/>
      <c r="C62" s="208"/>
      <c r="D62" s="208"/>
      <c r="E62" s="208"/>
      <c r="F62" s="208"/>
      <c r="G62" s="331"/>
      <c r="H62" s="332"/>
    </row>
    <row r="63" spans="1:8" s="333" customFormat="1">
      <c r="A63" s="330" t="s">
        <v>589</v>
      </c>
      <c r="B63" s="328"/>
      <c r="C63" s="208"/>
      <c r="D63" s="208"/>
      <c r="E63" s="208"/>
      <c r="F63" s="208"/>
      <c r="G63" s="331"/>
      <c r="H63" s="332"/>
    </row>
    <row r="64" spans="1:8" s="333" customFormat="1">
      <c r="A64" s="334" t="s">
        <v>590</v>
      </c>
      <c r="B64" s="328"/>
      <c r="D64" s="335" t="s">
        <v>641</v>
      </c>
      <c r="E64" s="208"/>
      <c r="F64" s="208"/>
    </row>
    <row r="408" spans="12:13">
      <c r="L408" s="234">
        <v>135.4</v>
      </c>
      <c r="M408" s="234">
        <v>140.9</v>
      </c>
    </row>
    <row r="409" spans="12:13">
      <c r="L409" s="234">
        <v>27088.9</v>
      </c>
      <c r="M409" s="234">
        <v>28171.4</v>
      </c>
    </row>
  </sheetData>
  <mergeCells count="4">
    <mergeCell ref="C11:D11"/>
    <mergeCell ref="A11:A12"/>
    <mergeCell ref="B11:B12"/>
    <mergeCell ref="A8:D8"/>
  </mergeCells>
  <printOptions horizontalCentered="1"/>
  <pageMargins left="1.1811023622047245" right="0.39370078740157483" top="0.78740157480314965" bottom="0.39370078740157483" header="0.31496062992125984" footer="0.31496062992125984"/>
  <pageSetup paperSize="9" scale="68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1" tint="0.499984740745262"/>
    <pageSetUpPr fitToPage="1"/>
  </sheetPr>
  <dimension ref="A1:N34"/>
  <sheetViews>
    <sheetView zoomScale="90" zoomScaleNormal="90" zoomScaleSheetLayoutView="85" workbookViewId="0">
      <selection activeCell="F2" sqref="F2"/>
    </sheetView>
  </sheetViews>
  <sheetFormatPr defaultColWidth="9.140625" defaultRowHeight="18.75"/>
  <cols>
    <col min="1" max="1" width="9.140625" style="263"/>
    <col min="2" max="2" width="40" style="263" customWidth="1"/>
    <col min="3" max="3" width="16" style="264" customWidth="1"/>
    <col min="4" max="4" width="17.42578125" style="264" customWidth="1"/>
    <col min="5" max="5" width="15.140625" style="264" customWidth="1"/>
    <col min="6" max="6" width="14.28515625" style="344" customWidth="1"/>
    <col min="7" max="7" width="14.5703125" style="263" customWidth="1"/>
    <col min="8" max="8" width="20.7109375" style="263" customWidth="1"/>
    <col min="9" max="9" width="30.7109375" style="263" customWidth="1"/>
    <col min="10" max="16384" width="9.140625" style="263"/>
  </cols>
  <sheetData>
    <row r="1" spans="1:8" s="80" customFormat="1">
      <c r="F1" s="1" t="s">
        <v>694</v>
      </c>
    </row>
    <row r="2" spans="1:8" s="80" customFormat="1">
      <c r="F2" s="1" t="s">
        <v>905</v>
      </c>
    </row>
    <row r="3" spans="1:8" s="80" customFormat="1">
      <c r="F3" s="1"/>
    </row>
    <row r="4" spans="1:8">
      <c r="F4" s="348" t="s">
        <v>592</v>
      </c>
    </row>
    <row r="5" spans="1:8">
      <c r="F5" s="1" t="s">
        <v>817</v>
      </c>
    </row>
    <row r="7" spans="1:8">
      <c r="F7" s="336"/>
    </row>
    <row r="8" spans="1:8" ht="65.45" customHeight="1">
      <c r="A8" s="918" t="s">
        <v>734</v>
      </c>
      <c r="B8" s="918"/>
      <c r="C8" s="918"/>
      <c r="D8" s="918"/>
      <c r="E8" s="918"/>
      <c r="F8" s="918"/>
      <c r="G8" s="337"/>
      <c r="H8" s="337"/>
    </row>
    <row r="10" spans="1:8">
      <c r="F10" s="265" t="s">
        <v>75</v>
      </c>
    </row>
    <row r="11" spans="1:8" ht="40.9" customHeight="1">
      <c r="A11" s="908" t="s">
        <v>191</v>
      </c>
      <c r="B11" s="908" t="s">
        <v>192</v>
      </c>
      <c r="C11" s="919" t="s">
        <v>193</v>
      </c>
      <c r="D11" s="920"/>
      <c r="E11" s="921"/>
      <c r="F11" s="917" t="s">
        <v>445</v>
      </c>
    </row>
    <row r="12" spans="1:8" ht="116.45" customHeight="1">
      <c r="A12" s="908"/>
      <c r="B12" s="908"/>
      <c r="C12" s="338" t="s">
        <v>194</v>
      </c>
      <c r="D12" s="338" t="s">
        <v>195</v>
      </c>
      <c r="E12" s="338" t="s">
        <v>593</v>
      </c>
      <c r="F12" s="917"/>
    </row>
    <row r="13" spans="1:8" ht="20.45" customHeight="1">
      <c r="A13" s="339">
        <v>1</v>
      </c>
      <c r="B13" s="339">
        <v>2</v>
      </c>
      <c r="C13" s="340">
        <v>3</v>
      </c>
      <c r="D13" s="340">
        <v>4</v>
      </c>
      <c r="E13" s="340">
        <v>5</v>
      </c>
      <c r="F13" s="341">
        <v>6</v>
      </c>
    </row>
    <row r="14" spans="1:8" ht="21" customHeight="1">
      <c r="A14" s="287"/>
      <c r="B14" s="342" t="s">
        <v>445</v>
      </c>
      <c r="C14" s="343">
        <f>SUM(C16:C26)</f>
        <v>440</v>
      </c>
      <c r="D14" s="343">
        <f>SUM(D15:D26)</f>
        <v>863.5999999999998</v>
      </c>
      <c r="E14" s="343">
        <f>SUM(E15:E26)</f>
        <v>193.29999999999998</v>
      </c>
      <c r="F14" s="343">
        <f>SUM(F15:F26)</f>
        <v>1496.9000000000003</v>
      </c>
    </row>
    <row r="15" spans="1:8" ht="18" customHeight="1">
      <c r="A15" s="339">
        <v>1</v>
      </c>
      <c r="B15" s="349" t="s">
        <v>446</v>
      </c>
      <c r="C15" s="350">
        <v>0</v>
      </c>
      <c r="D15" s="350">
        <v>486.4</v>
      </c>
      <c r="E15" s="350">
        <f>115.4-6.7</f>
        <v>108.7</v>
      </c>
      <c r="F15" s="351">
        <f>C15+D15+E15</f>
        <v>595.1</v>
      </c>
    </row>
    <row r="16" spans="1:8" ht="18" customHeight="1">
      <c r="A16" s="339">
        <v>2</v>
      </c>
      <c r="B16" s="349" t="s">
        <v>447</v>
      </c>
      <c r="C16" s="350">
        <v>65</v>
      </c>
      <c r="D16" s="350">
        <v>57.1</v>
      </c>
      <c r="E16" s="350">
        <v>0</v>
      </c>
      <c r="F16" s="351">
        <f t="shared" ref="F16:F25" si="0">C16+D16+E16</f>
        <v>122.1</v>
      </c>
    </row>
    <row r="17" spans="1:9" ht="18" customHeight="1">
      <c r="A17" s="339">
        <v>3</v>
      </c>
      <c r="B17" s="349" t="s">
        <v>448</v>
      </c>
      <c r="C17" s="350">
        <v>0</v>
      </c>
      <c r="D17" s="350">
        <v>168</v>
      </c>
      <c r="E17" s="350">
        <f>39.5+3.8</f>
        <v>43.3</v>
      </c>
      <c r="F17" s="351">
        <f t="shared" si="0"/>
        <v>211.3</v>
      </c>
    </row>
    <row r="18" spans="1:9" ht="18" customHeight="1">
      <c r="A18" s="339">
        <v>4</v>
      </c>
      <c r="B18" s="349" t="s">
        <v>449</v>
      </c>
      <c r="C18" s="350">
        <v>60</v>
      </c>
      <c r="D18" s="350">
        <v>13.4</v>
      </c>
      <c r="E18" s="350">
        <f>5.3-0.2</f>
        <v>5.0999999999999996</v>
      </c>
      <c r="F18" s="351">
        <f t="shared" si="0"/>
        <v>78.5</v>
      </c>
    </row>
    <row r="19" spans="1:9" ht="18" customHeight="1">
      <c r="A19" s="339">
        <v>5</v>
      </c>
      <c r="B19" s="349" t="s">
        <v>341</v>
      </c>
      <c r="C19" s="350">
        <f>75+25</f>
        <v>100</v>
      </c>
      <c r="D19" s="350">
        <v>27.4</v>
      </c>
      <c r="E19" s="350">
        <f>9.9-1.3</f>
        <v>8.6</v>
      </c>
      <c r="F19" s="351">
        <f t="shared" si="0"/>
        <v>136</v>
      </c>
    </row>
    <row r="20" spans="1:9" ht="18" customHeight="1">
      <c r="A20" s="339">
        <v>6</v>
      </c>
      <c r="B20" s="349" t="s">
        <v>450</v>
      </c>
      <c r="C20" s="350">
        <v>60</v>
      </c>
      <c r="D20" s="350">
        <v>16</v>
      </c>
      <c r="E20" s="350">
        <f>5.6-0.4</f>
        <v>5.1999999999999993</v>
      </c>
      <c r="F20" s="351">
        <f t="shared" si="0"/>
        <v>81.2</v>
      </c>
    </row>
    <row r="21" spans="1:9" ht="18" customHeight="1">
      <c r="A21" s="339">
        <v>7</v>
      </c>
      <c r="B21" s="349" t="s">
        <v>451</v>
      </c>
      <c r="C21" s="350">
        <v>10</v>
      </c>
      <c r="D21" s="350">
        <v>25.3</v>
      </c>
      <c r="E21" s="350">
        <f>4.7-0.6</f>
        <v>4.1000000000000005</v>
      </c>
      <c r="F21" s="351">
        <f t="shared" si="0"/>
        <v>39.4</v>
      </c>
    </row>
    <row r="22" spans="1:9" ht="18" customHeight="1">
      <c r="A22" s="339">
        <v>8</v>
      </c>
      <c r="B22" s="349" t="s">
        <v>343</v>
      </c>
      <c r="C22" s="350">
        <v>15</v>
      </c>
      <c r="D22" s="350">
        <v>19.899999999999999</v>
      </c>
      <c r="E22" s="350">
        <v>0</v>
      </c>
      <c r="F22" s="351">
        <f t="shared" si="0"/>
        <v>34.9</v>
      </c>
      <c r="G22" s="263" t="s">
        <v>196</v>
      </c>
    </row>
    <row r="23" spans="1:9" ht="18" customHeight="1">
      <c r="A23" s="339">
        <v>9</v>
      </c>
      <c r="B23" s="349" t="s">
        <v>344</v>
      </c>
      <c r="C23" s="350">
        <v>50</v>
      </c>
      <c r="D23" s="350">
        <v>11.4</v>
      </c>
      <c r="E23" s="350">
        <f>5.6-0.7</f>
        <v>4.8999999999999995</v>
      </c>
      <c r="F23" s="351">
        <f t="shared" si="0"/>
        <v>66.3</v>
      </c>
    </row>
    <row r="24" spans="1:9" ht="18" customHeight="1">
      <c r="A24" s="339">
        <v>10</v>
      </c>
      <c r="B24" s="349" t="s">
        <v>345</v>
      </c>
      <c r="C24" s="350">
        <v>5</v>
      </c>
      <c r="D24" s="350">
        <v>6.8</v>
      </c>
      <c r="E24" s="350">
        <f>1.9-0.2</f>
        <v>1.7</v>
      </c>
      <c r="F24" s="351">
        <f t="shared" si="0"/>
        <v>13.5</v>
      </c>
    </row>
    <row r="25" spans="1:9" ht="18" customHeight="1">
      <c r="A25" s="339">
        <v>11</v>
      </c>
      <c r="B25" s="349" t="s">
        <v>346</v>
      </c>
      <c r="C25" s="350">
        <v>55</v>
      </c>
      <c r="D25" s="350">
        <v>19.5</v>
      </c>
      <c r="E25" s="350">
        <v>6.9</v>
      </c>
      <c r="F25" s="351">
        <f t="shared" si="0"/>
        <v>81.400000000000006</v>
      </c>
    </row>
    <row r="26" spans="1:9" ht="18" customHeight="1">
      <c r="A26" s="339">
        <v>12</v>
      </c>
      <c r="B26" s="349" t="s">
        <v>347</v>
      </c>
      <c r="C26" s="350">
        <v>20</v>
      </c>
      <c r="D26" s="350">
        <v>12.4</v>
      </c>
      <c r="E26" s="350">
        <f>5.4-0.6</f>
        <v>4.8000000000000007</v>
      </c>
      <c r="F26" s="351">
        <f>C26+D26+E26</f>
        <v>37.200000000000003</v>
      </c>
    </row>
    <row r="29" spans="1:9" s="211" customFormat="1">
      <c r="A29" s="205" t="s">
        <v>588</v>
      </c>
      <c r="B29" s="206"/>
      <c r="C29" s="207"/>
      <c r="D29" s="207"/>
      <c r="E29" s="207"/>
      <c r="F29" s="207"/>
      <c r="G29" s="207"/>
      <c r="H29" s="209"/>
      <c r="I29" s="210"/>
    </row>
    <row r="30" spans="1:9" s="211" customFormat="1">
      <c r="A30" s="205" t="s">
        <v>589</v>
      </c>
      <c r="B30" s="206"/>
      <c r="C30" s="207"/>
      <c r="D30" s="207"/>
      <c r="E30" s="207"/>
      <c r="F30" s="207"/>
      <c r="G30" s="207"/>
      <c r="H30" s="209"/>
      <c r="I30" s="210"/>
    </row>
    <row r="31" spans="1:9" s="211" customFormat="1">
      <c r="A31" s="212" t="s">
        <v>590</v>
      </c>
      <c r="B31" s="206"/>
      <c r="D31" s="207"/>
      <c r="E31" s="207"/>
      <c r="F31" s="262" t="s">
        <v>641</v>
      </c>
      <c r="G31" s="207"/>
    </row>
    <row r="33" spans="3:14">
      <c r="G33" s="288"/>
      <c r="H33" s="288"/>
      <c r="I33" s="288"/>
      <c r="J33" s="345"/>
      <c r="K33" s="345"/>
      <c r="L33" s="345"/>
      <c r="M33" s="346"/>
      <c r="N33" s="345"/>
    </row>
    <row r="34" spans="3:14">
      <c r="C34" s="290"/>
      <c r="D34" s="290"/>
      <c r="E34" s="290"/>
      <c r="F34" s="347"/>
    </row>
  </sheetData>
  <mergeCells count="5">
    <mergeCell ref="A11:A12"/>
    <mergeCell ref="B11:B12"/>
    <mergeCell ref="F11:F12"/>
    <mergeCell ref="A8:F8"/>
    <mergeCell ref="C11:E11"/>
  </mergeCells>
  <printOptions horizontalCentered="1"/>
  <pageMargins left="1.1811023622047245" right="0.39370078740157483" top="0.78740157480314965" bottom="0.78740157480314965" header="0" footer="0"/>
  <pageSetup paperSize="9" scale="76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0" tint="-0.499984740745262"/>
  </sheetPr>
  <dimension ref="A1:H61"/>
  <sheetViews>
    <sheetView zoomScaleSheetLayoutView="80" workbookViewId="0">
      <selection activeCell="D2" sqref="D2"/>
    </sheetView>
  </sheetViews>
  <sheetFormatPr defaultColWidth="9.140625" defaultRowHeight="18"/>
  <cols>
    <col min="1" max="1" width="60.7109375" style="352" customWidth="1"/>
    <col min="2" max="2" width="13.42578125" style="352" customWidth="1"/>
    <col min="3" max="3" width="16.28515625" style="352" customWidth="1"/>
    <col min="4" max="4" width="15.7109375" style="354" customWidth="1"/>
    <col min="5" max="5" width="8.140625" style="352" customWidth="1"/>
    <col min="6" max="6" width="22.85546875" style="352" customWidth="1"/>
    <col min="7" max="16384" width="9.140625" style="352"/>
  </cols>
  <sheetData>
    <row r="1" spans="1:6" ht="18" customHeight="1">
      <c r="A1" s="924" t="s">
        <v>805</v>
      </c>
      <c r="B1" s="924"/>
      <c r="C1" s="924"/>
      <c r="D1" s="924"/>
    </row>
    <row r="2" spans="1:6" ht="18.75">
      <c r="D2" s="336" t="s">
        <v>903</v>
      </c>
    </row>
    <row r="3" spans="1:6" ht="18.75">
      <c r="A3" s="353"/>
      <c r="B3" s="353"/>
      <c r="C3" s="353"/>
    </row>
    <row r="4" spans="1:6" ht="18.75">
      <c r="A4" s="922" t="s">
        <v>646</v>
      </c>
      <c r="B4" s="923"/>
      <c r="C4" s="923"/>
      <c r="D4" s="923"/>
    </row>
    <row r="5" spans="1:6" ht="18.75">
      <c r="A5" s="922" t="s">
        <v>647</v>
      </c>
      <c r="B5" s="923"/>
      <c r="C5" s="923"/>
      <c r="D5" s="923"/>
    </row>
    <row r="6" spans="1:6" ht="18.75">
      <c r="A6" s="922" t="s">
        <v>744</v>
      </c>
      <c r="B6" s="922"/>
      <c r="C6" s="922"/>
      <c r="D6" s="922"/>
    </row>
    <row r="7" spans="1:6" ht="18.75">
      <c r="A7" s="355"/>
      <c r="B7" s="355"/>
      <c r="C7" s="355"/>
      <c r="D7" s="355"/>
    </row>
    <row r="8" spans="1:6" ht="18.75">
      <c r="A8" s="353"/>
      <c r="D8" s="356" t="s">
        <v>745</v>
      </c>
    </row>
    <row r="9" spans="1:6" ht="56.25">
      <c r="A9" s="357" t="s">
        <v>65</v>
      </c>
      <c r="B9" s="357" t="s">
        <v>648</v>
      </c>
      <c r="C9" s="357" t="s">
        <v>649</v>
      </c>
      <c r="D9" s="357" t="s">
        <v>650</v>
      </c>
    </row>
    <row r="10" spans="1:6" ht="18.75">
      <c r="A10" s="358">
        <v>1</v>
      </c>
      <c r="B10" s="358">
        <v>2</v>
      </c>
      <c r="C10" s="358">
        <v>3</v>
      </c>
      <c r="D10" s="359">
        <v>4</v>
      </c>
    </row>
    <row r="11" spans="1:6" ht="56.25">
      <c r="A11" s="395" t="s">
        <v>651</v>
      </c>
      <c r="B11" s="360"/>
      <c r="C11" s="361"/>
      <c r="D11" s="362"/>
      <c r="F11" s="363"/>
    </row>
    <row r="12" spans="1:6" ht="37.5">
      <c r="A12" s="364" t="s">
        <v>652</v>
      </c>
      <c r="B12" s="365">
        <v>100</v>
      </c>
      <c r="C12" s="366"/>
      <c r="D12" s="367"/>
    </row>
    <row r="13" spans="1:6" ht="37.5">
      <c r="A13" s="364" t="s">
        <v>653</v>
      </c>
      <c r="B13" s="365">
        <v>100</v>
      </c>
      <c r="C13" s="368"/>
      <c r="D13" s="369"/>
      <c r="F13" s="354"/>
    </row>
    <row r="14" spans="1:6" ht="96.75" customHeight="1">
      <c r="A14" s="364" t="s">
        <v>654</v>
      </c>
      <c r="B14" s="365">
        <v>100</v>
      </c>
      <c r="C14" s="370"/>
      <c r="D14" s="367"/>
    </row>
    <row r="15" spans="1:6" ht="56.25">
      <c r="A15" s="364" t="s">
        <v>655</v>
      </c>
      <c r="B15" s="365">
        <v>100</v>
      </c>
      <c r="C15" s="370"/>
      <c r="D15" s="367"/>
    </row>
    <row r="16" spans="1:6" ht="37.5">
      <c r="A16" s="371" t="s">
        <v>656</v>
      </c>
      <c r="B16" s="372">
        <v>100</v>
      </c>
      <c r="C16" s="373"/>
      <c r="D16" s="374"/>
    </row>
    <row r="17" spans="1:4" ht="37.5" customHeight="1">
      <c r="A17" s="395" t="s">
        <v>657</v>
      </c>
      <c r="B17" s="375"/>
      <c r="C17" s="376"/>
      <c r="D17" s="377"/>
    </row>
    <row r="18" spans="1:4" ht="37.5">
      <c r="A18" s="364" t="s">
        <v>658</v>
      </c>
      <c r="B18" s="365" t="s">
        <v>103</v>
      </c>
      <c r="C18" s="370"/>
      <c r="D18" s="367"/>
    </row>
    <row r="19" spans="1:4" ht="37.5">
      <c r="A19" s="364" t="s">
        <v>659</v>
      </c>
      <c r="B19" s="378"/>
      <c r="C19" s="379">
        <v>100</v>
      </c>
      <c r="D19" s="369"/>
    </row>
    <row r="20" spans="1:4" ht="37.5">
      <c r="A20" s="364" t="s">
        <v>660</v>
      </c>
      <c r="B20" s="380"/>
      <c r="C20" s="370"/>
      <c r="D20" s="379">
        <v>100</v>
      </c>
    </row>
    <row r="21" spans="1:4" ht="37.5">
      <c r="A21" s="395" t="s">
        <v>746</v>
      </c>
      <c r="B21" s="381"/>
      <c r="C21" s="376"/>
      <c r="D21" s="377"/>
    </row>
    <row r="22" spans="1:4" ht="56.25">
      <c r="A22" s="364" t="s">
        <v>63</v>
      </c>
      <c r="B22" s="379" t="s">
        <v>103</v>
      </c>
      <c r="C22" s="368"/>
      <c r="D22" s="369"/>
    </row>
    <row r="23" spans="1:4" ht="56.25">
      <c r="A23" s="364" t="s">
        <v>661</v>
      </c>
      <c r="B23" s="382"/>
      <c r="C23" s="379">
        <v>100</v>
      </c>
      <c r="D23" s="367"/>
    </row>
    <row r="24" spans="1:4" ht="56.25">
      <c r="A24" s="364" t="s">
        <v>662</v>
      </c>
      <c r="B24" s="382"/>
      <c r="C24" s="370"/>
      <c r="D24" s="379">
        <v>100</v>
      </c>
    </row>
    <row r="25" spans="1:4" ht="56.25">
      <c r="A25" s="364" t="s">
        <v>663</v>
      </c>
      <c r="B25" s="379" t="s">
        <v>103</v>
      </c>
      <c r="C25" s="370"/>
      <c r="D25" s="367"/>
    </row>
    <row r="26" spans="1:4" ht="56.25">
      <c r="A26" s="364" t="s">
        <v>664</v>
      </c>
      <c r="B26" s="383"/>
      <c r="C26" s="379">
        <v>100</v>
      </c>
      <c r="D26" s="369"/>
    </row>
    <row r="27" spans="1:4" ht="56.25">
      <c r="A27" s="364" t="s">
        <v>665</v>
      </c>
      <c r="B27" s="384"/>
      <c r="C27" s="385"/>
      <c r="D27" s="379">
        <v>100</v>
      </c>
    </row>
    <row r="28" spans="1:4" ht="37.5">
      <c r="A28" s="364" t="s">
        <v>666</v>
      </c>
      <c r="B28" s="379" t="s">
        <v>103</v>
      </c>
      <c r="C28" s="385"/>
      <c r="D28" s="386"/>
    </row>
    <row r="29" spans="1:4" ht="37.5">
      <c r="A29" s="364" t="s">
        <v>667</v>
      </c>
      <c r="B29" s="384"/>
      <c r="C29" s="379">
        <v>100</v>
      </c>
      <c r="D29" s="386"/>
    </row>
    <row r="30" spans="1:4" ht="37.5">
      <c r="A30" s="371" t="s">
        <v>668</v>
      </c>
      <c r="B30" s="387"/>
      <c r="C30" s="388"/>
      <c r="D30" s="389">
        <v>100</v>
      </c>
    </row>
    <row r="31" spans="1:4" ht="18.75">
      <c r="A31" s="396" t="s">
        <v>669</v>
      </c>
      <c r="B31" s="380"/>
      <c r="C31" s="370"/>
      <c r="D31" s="367"/>
    </row>
    <row r="32" spans="1:4" ht="56.25" customHeight="1">
      <c r="A32" s="364" t="s">
        <v>670</v>
      </c>
      <c r="B32" s="365" t="s">
        <v>103</v>
      </c>
      <c r="C32" s="370"/>
      <c r="D32" s="367"/>
    </row>
    <row r="33" spans="1:5" ht="56.25">
      <c r="A33" s="364" t="s">
        <v>671</v>
      </c>
      <c r="B33" s="380"/>
      <c r="C33" s="379">
        <v>100</v>
      </c>
      <c r="D33" s="367"/>
    </row>
    <row r="34" spans="1:5" ht="56.25">
      <c r="A34" s="364" t="s">
        <v>672</v>
      </c>
      <c r="B34" s="380"/>
      <c r="C34" s="390"/>
      <c r="D34" s="379">
        <v>100</v>
      </c>
    </row>
    <row r="35" spans="1:5" ht="18.75">
      <c r="A35" s="395" t="s">
        <v>673</v>
      </c>
      <c r="B35" s="381"/>
      <c r="C35" s="376"/>
      <c r="D35" s="377"/>
    </row>
    <row r="36" spans="1:5" ht="93.75" customHeight="1">
      <c r="A36" s="364" t="s">
        <v>674</v>
      </c>
      <c r="B36" s="379" t="s">
        <v>103</v>
      </c>
      <c r="C36" s="370"/>
      <c r="D36" s="367"/>
    </row>
    <row r="37" spans="1:5" ht="75">
      <c r="A37" s="364" t="s">
        <v>675</v>
      </c>
      <c r="B37" s="379">
        <v>100</v>
      </c>
      <c r="C37" s="368"/>
      <c r="D37" s="369"/>
    </row>
    <row r="38" spans="1:5" ht="91.5" customHeight="1">
      <c r="A38" s="364" t="s">
        <v>676</v>
      </c>
      <c r="B38" s="382"/>
      <c r="C38" s="379">
        <v>100</v>
      </c>
      <c r="D38" s="367"/>
    </row>
    <row r="39" spans="1:5" ht="75">
      <c r="A39" s="364" t="s">
        <v>677</v>
      </c>
      <c r="B39" s="382"/>
      <c r="C39" s="379">
        <v>100</v>
      </c>
      <c r="D39" s="367"/>
    </row>
    <row r="40" spans="1:5" ht="94.5" customHeight="1">
      <c r="A40" s="364" t="s">
        <v>678</v>
      </c>
      <c r="B40" s="383"/>
      <c r="C40" s="368"/>
      <c r="D40" s="379">
        <v>100</v>
      </c>
      <c r="E40" s="391"/>
    </row>
    <row r="41" spans="1:5" ht="75">
      <c r="A41" s="364" t="s">
        <v>679</v>
      </c>
      <c r="B41" s="382"/>
      <c r="C41" s="370"/>
      <c r="D41" s="379">
        <v>100</v>
      </c>
    </row>
    <row r="42" spans="1:5" ht="112.5">
      <c r="A42" s="364" t="s">
        <v>680</v>
      </c>
      <c r="B42" s="379" t="s">
        <v>103</v>
      </c>
      <c r="C42" s="370"/>
      <c r="D42" s="367"/>
    </row>
    <row r="43" spans="1:5" ht="112.5">
      <c r="A43" s="364" t="s">
        <v>681</v>
      </c>
      <c r="B43" s="382"/>
      <c r="C43" s="379">
        <v>100</v>
      </c>
      <c r="D43" s="367"/>
    </row>
    <row r="44" spans="1:5" ht="112.5">
      <c r="A44" s="364" t="s">
        <v>682</v>
      </c>
      <c r="B44" s="382"/>
      <c r="C44" s="370"/>
      <c r="D44" s="379">
        <v>100</v>
      </c>
    </row>
    <row r="45" spans="1:5" ht="18.75">
      <c r="A45" s="395" t="s">
        <v>683</v>
      </c>
      <c r="B45" s="381"/>
      <c r="C45" s="376"/>
      <c r="D45" s="377"/>
    </row>
    <row r="46" spans="1:5" ht="37.5">
      <c r="A46" s="364" t="s">
        <v>12</v>
      </c>
      <c r="B46" s="379" t="s">
        <v>103</v>
      </c>
      <c r="C46" s="370"/>
      <c r="D46" s="367"/>
    </row>
    <row r="47" spans="1:5" ht="37.5">
      <c r="A47" s="364" t="s">
        <v>684</v>
      </c>
      <c r="B47" s="382"/>
      <c r="C47" s="379">
        <v>100</v>
      </c>
      <c r="D47" s="379"/>
    </row>
    <row r="48" spans="1:5" ht="37.5">
      <c r="A48" s="364" t="s">
        <v>685</v>
      </c>
      <c r="B48" s="382"/>
      <c r="C48" s="379"/>
      <c r="D48" s="379">
        <v>100</v>
      </c>
    </row>
    <row r="49" spans="1:8" ht="37.5">
      <c r="A49" s="364" t="s">
        <v>686</v>
      </c>
      <c r="B49" s="379" t="s">
        <v>103</v>
      </c>
      <c r="C49" s="370"/>
      <c r="D49" s="367"/>
    </row>
    <row r="50" spans="1:8" ht="37.5">
      <c r="A50" s="364" t="s">
        <v>687</v>
      </c>
      <c r="B50" s="382"/>
      <c r="C50" s="379">
        <v>100</v>
      </c>
      <c r="D50" s="367"/>
    </row>
    <row r="51" spans="1:8" ht="37.5">
      <c r="A51" s="364" t="s">
        <v>688</v>
      </c>
      <c r="B51" s="382"/>
      <c r="C51" s="379"/>
      <c r="D51" s="379">
        <v>100</v>
      </c>
    </row>
    <row r="52" spans="1:8" ht="92.25" customHeight="1">
      <c r="A52" s="364" t="s">
        <v>689</v>
      </c>
      <c r="B52" s="382"/>
      <c r="C52" s="379">
        <v>100</v>
      </c>
      <c r="D52" s="379"/>
    </row>
    <row r="53" spans="1:8" ht="94.5" customHeight="1">
      <c r="A53" s="364" t="s">
        <v>690</v>
      </c>
      <c r="B53" s="382"/>
      <c r="C53" s="379"/>
      <c r="D53" s="379">
        <v>100</v>
      </c>
    </row>
    <row r="54" spans="1:8" ht="37.5">
      <c r="A54" s="364" t="s">
        <v>691</v>
      </c>
      <c r="B54" s="379" t="s">
        <v>103</v>
      </c>
      <c r="C54" s="379"/>
      <c r="D54" s="367"/>
    </row>
    <row r="55" spans="1:8" ht="37.5">
      <c r="A55" s="364" t="s">
        <v>692</v>
      </c>
      <c r="B55" s="382"/>
      <c r="C55" s="379">
        <v>100</v>
      </c>
      <c r="D55" s="367"/>
    </row>
    <row r="56" spans="1:8" ht="37.5">
      <c r="A56" s="371" t="s">
        <v>693</v>
      </c>
      <c r="B56" s="392"/>
      <c r="C56" s="373"/>
      <c r="D56" s="389">
        <v>100</v>
      </c>
    </row>
    <row r="57" spans="1:8" ht="18.75">
      <c r="A57" s="393"/>
      <c r="B57" s="380"/>
      <c r="C57" s="394"/>
      <c r="D57" s="365"/>
    </row>
    <row r="59" spans="1:8" s="211" customFormat="1" ht="18.75">
      <c r="A59" s="205" t="s">
        <v>588</v>
      </c>
      <c r="B59" s="206"/>
      <c r="C59" s="207"/>
      <c r="D59" s="207"/>
      <c r="E59" s="207"/>
      <c r="F59" s="208"/>
      <c r="G59" s="209"/>
      <c r="H59" s="210"/>
    </row>
    <row r="60" spans="1:8" s="211" customFormat="1" ht="18.75">
      <c r="A60" s="205" t="s">
        <v>589</v>
      </c>
      <c r="B60" s="206"/>
      <c r="C60" s="207"/>
      <c r="D60" s="207"/>
      <c r="E60" s="207"/>
      <c r="F60" s="208"/>
      <c r="G60" s="209"/>
      <c r="H60" s="210"/>
    </row>
    <row r="61" spans="1:8" s="211" customFormat="1" ht="18.75">
      <c r="A61" s="212" t="s">
        <v>590</v>
      </c>
      <c r="B61" s="206"/>
      <c r="D61" s="262" t="s">
        <v>641</v>
      </c>
      <c r="E61" s="207"/>
      <c r="F61" s="208"/>
    </row>
  </sheetData>
  <mergeCells count="4">
    <mergeCell ref="A4:D4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J62"/>
  <sheetViews>
    <sheetView zoomScale="90" zoomScaleNormal="90" zoomScaleSheetLayoutView="76" workbookViewId="0">
      <selection activeCell="D2" sqref="D2"/>
    </sheetView>
  </sheetViews>
  <sheetFormatPr defaultColWidth="9.140625" defaultRowHeight="18"/>
  <cols>
    <col min="1" max="1" width="6.140625" style="9" customWidth="1"/>
    <col min="2" max="2" width="9.140625" style="9" customWidth="1"/>
    <col min="3" max="3" width="62.140625" style="9" customWidth="1"/>
    <col min="4" max="4" width="17.7109375" style="11" customWidth="1"/>
    <col min="5" max="5" width="8.140625" style="9" customWidth="1"/>
    <col min="6" max="6" width="22.85546875" style="9" customWidth="1"/>
    <col min="7" max="7" width="9.140625" style="9"/>
    <col min="8" max="8" width="20" style="9" customWidth="1"/>
    <col min="9" max="9" width="9.140625" style="9"/>
    <col min="10" max="10" width="11.5703125" style="9" bestFit="1" customWidth="1"/>
    <col min="11" max="16384" width="9.140625" style="9"/>
  </cols>
  <sheetData>
    <row r="1" spans="1:6" s="80" customFormat="1" ht="18.75">
      <c r="D1" s="1" t="s">
        <v>573</v>
      </c>
    </row>
    <row r="2" spans="1:6" s="80" customFormat="1" ht="18.75">
      <c r="D2" s="1" t="s">
        <v>903</v>
      </c>
    </row>
    <row r="3" spans="1:6" ht="16.5" customHeight="1"/>
    <row r="4" spans="1:6" ht="18.75">
      <c r="D4" s="1" t="s">
        <v>698</v>
      </c>
    </row>
    <row r="5" spans="1:6" ht="18.75">
      <c r="D5" s="1" t="s">
        <v>817</v>
      </c>
    </row>
    <row r="6" spans="1:6" ht="18.75">
      <c r="D6" s="3"/>
    </row>
    <row r="7" spans="1:6" ht="18.75">
      <c r="A7" s="10"/>
      <c r="B7" s="10"/>
      <c r="C7" s="10"/>
    </row>
    <row r="8" spans="1:6" ht="18.75">
      <c r="A8" s="925" t="s">
        <v>233</v>
      </c>
      <c r="B8" s="926"/>
      <c r="C8" s="926"/>
      <c r="D8" s="926"/>
    </row>
    <row r="9" spans="1:6" ht="18.75">
      <c r="A9" s="925" t="s">
        <v>747</v>
      </c>
      <c r="B9" s="926"/>
      <c r="C9" s="926"/>
      <c r="D9" s="926"/>
    </row>
    <row r="10" spans="1:6" ht="18.75">
      <c r="A10" s="10"/>
      <c r="D10" s="9"/>
    </row>
    <row r="11" spans="1:6" ht="18.75">
      <c r="D11" s="4" t="s">
        <v>75</v>
      </c>
    </row>
    <row r="12" spans="1:6" ht="38.450000000000003" customHeight="1">
      <c r="A12" s="99" t="s">
        <v>234</v>
      </c>
      <c r="B12" s="100" t="s">
        <v>466</v>
      </c>
      <c r="C12" s="100" t="s">
        <v>77</v>
      </c>
      <c r="D12" s="48" t="s">
        <v>66</v>
      </c>
    </row>
    <row r="13" spans="1:6" ht="18.75">
      <c r="A13" s="73">
        <v>1</v>
      </c>
      <c r="B13" s="73">
        <v>2</v>
      </c>
      <c r="C13" s="73">
        <v>3</v>
      </c>
      <c r="D13" s="74">
        <v>4</v>
      </c>
    </row>
    <row r="14" spans="1:6" ht="18.75">
      <c r="A14" s="12"/>
      <c r="B14" s="12"/>
      <c r="C14" s="13" t="s">
        <v>235</v>
      </c>
      <c r="D14" s="587">
        <f>D16+D23+D26+D30+D33+D39+D42+D44+D54+D48+D52</f>
        <v>1431427.0225399998</v>
      </c>
      <c r="F14" s="109">
        <f>D14-'прил12(ведом 19)'!M13</f>
        <v>0</v>
      </c>
    </row>
    <row r="15" spans="1:6" ht="18.75">
      <c r="A15" s="12"/>
      <c r="B15" s="12"/>
      <c r="C15" s="14" t="s">
        <v>236</v>
      </c>
      <c r="D15" s="15"/>
    </row>
    <row r="16" spans="1:6" ht="18.75">
      <c r="A16" s="53">
        <v>1</v>
      </c>
      <c r="B16" s="50" t="s">
        <v>237</v>
      </c>
      <c r="C16" s="16" t="s">
        <v>89</v>
      </c>
      <c r="D16" s="17">
        <f>SUM(D17:D22)</f>
        <v>146729.33038999999</v>
      </c>
      <c r="F16" s="11"/>
    </row>
    <row r="17" spans="1:4" ht="56.25">
      <c r="A17" s="54"/>
      <c r="B17" s="51" t="s">
        <v>238</v>
      </c>
      <c r="C17" s="18" t="s">
        <v>239</v>
      </c>
      <c r="D17" s="15">
        <f>'прил12(ведом 19)'!M683</f>
        <v>1971.5</v>
      </c>
    </row>
    <row r="18" spans="1:4" ht="75">
      <c r="A18" s="54"/>
      <c r="B18" s="51" t="s">
        <v>240</v>
      </c>
      <c r="C18" s="18" t="s">
        <v>104</v>
      </c>
      <c r="D18" s="15">
        <f>'прил12(ведом 19)'!M684</f>
        <v>66117.60239</v>
      </c>
    </row>
    <row r="19" spans="1:4" ht="18.75">
      <c r="A19" s="54"/>
      <c r="B19" s="51" t="s">
        <v>642</v>
      </c>
      <c r="C19" s="85" t="s">
        <v>634</v>
      </c>
      <c r="D19" s="15">
        <f>'прил12(ведом 19)'!M685</f>
        <v>10.4</v>
      </c>
    </row>
    <row r="20" spans="1:4" ht="56.25">
      <c r="A20" s="54"/>
      <c r="B20" s="51" t="s">
        <v>241</v>
      </c>
      <c r="C20" s="18" t="s">
        <v>198</v>
      </c>
      <c r="D20" s="15">
        <f>'прил12(ведом 19)'!M686</f>
        <v>27664.899999999998</v>
      </c>
    </row>
    <row r="21" spans="1:4" ht="18.75">
      <c r="A21" s="54"/>
      <c r="B21" s="51" t="s">
        <v>242</v>
      </c>
      <c r="C21" s="18" t="s">
        <v>122</v>
      </c>
      <c r="D21" s="15">
        <f>'прил12(ведом 19)'!M688</f>
        <v>4099.8939999999993</v>
      </c>
    </row>
    <row r="22" spans="1:4" ht="18.75">
      <c r="A22" s="54"/>
      <c r="B22" s="51" t="s">
        <v>243</v>
      </c>
      <c r="C22" s="18" t="s">
        <v>129</v>
      </c>
      <c r="D22" s="15">
        <f>'прил12(ведом 19)'!M689</f>
        <v>46865.034</v>
      </c>
    </row>
    <row r="23" spans="1:4" ht="37.5">
      <c r="A23" s="53">
        <v>2</v>
      </c>
      <c r="B23" s="50" t="s">
        <v>244</v>
      </c>
      <c r="C23" s="16" t="s">
        <v>137</v>
      </c>
      <c r="D23" s="17">
        <f>SUM(D24:D25)</f>
        <v>15577.980679999997</v>
      </c>
    </row>
    <row r="24" spans="1:4" ht="56.25">
      <c r="A24" s="54"/>
      <c r="B24" s="51" t="s">
        <v>245</v>
      </c>
      <c r="C24" s="18" t="s">
        <v>138</v>
      </c>
      <c r="D24" s="15">
        <f>'прил12(ведом 19)'!M692</f>
        <v>6498.1166799999992</v>
      </c>
    </row>
    <row r="25" spans="1:4" ht="37.5">
      <c r="A25" s="54"/>
      <c r="B25" s="51" t="s">
        <v>246</v>
      </c>
      <c r="C25" s="18" t="s">
        <v>148</v>
      </c>
      <c r="D25" s="15">
        <f>'прил12(ведом 19)'!M693</f>
        <v>9079.8639999999978</v>
      </c>
    </row>
    <row r="26" spans="1:4" ht="18.75">
      <c r="A26" s="53">
        <v>3</v>
      </c>
      <c r="B26" s="50" t="s">
        <v>247</v>
      </c>
      <c r="C26" s="16" t="s">
        <v>154</v>
      </c>
      <c r="D26" s="17">
        <f>SUM(D27:D29)</f>
        <v>33978.899400000002</v>
      </c>
    </row>
    <row r="27" spans="1:4" ht="18.75">
      <c r="A27" s="53"/>
      <c r="B27" s="51" t="s">
        <v>248</v>
      </c>
      <c r="C27" s="18" t="s">
        <v>155</v>
      </c>
      <c r="D27" s="15">
        <f>'прил12(ведом 19)'!M696</f>
        <v>17441.2</v>
      </c>
    </row>
    <row r="28" spans="1:4" ht="18.75">
      <c r="A28" s="54"/>
      <c r="B28" s="51" t="s">
        <v>249</v>
      </c>
      <c r="C28" s="18" t="s">
        <v>161</v>
      </c>
      <c r="D28" s="15">
        <f>'прил12(ведом 19)'!M697</f>
        <v>5673.0294000000004</v>
      </c>
    </row>
    <row r="29" spans="1:4" ht="37.5">
      <c r="A29" s="54"/>
      <c r="B29" s="51" t="s">
        <v>250</v>
      </c>
      <c r="C29" s="18" t="s">
        <v>169</v>
      </c>
      <c r="D29" s="15">
        <f>'прил12(ведом 19)'!M698</f>
        <v>10864.670000000002</v>
      </c>
    </row>
    <row r="30" spans="1:4" ht="18.75">
      <c r="A30" s="53">
        <v>4</v>
      </c>
      <c r="B30" s="50" t="s">
        <v>251</v>
      </c>
      <c r="C30" s="16" t="s">
        <v>252</v>
      </c>
      <c r="D30" s="17">
        <f>SUM(D31:D32)</f>
        <v>18259.601000000002</v>
      </c>
    </row>
    <row r="31" spans="1:4" ht="18.75">
      <c r="A31" s="53"/>
      <c r="B31" s="52" t="s">
        <v>487</v>
      </c>
      <c r="C31" s="19" t="s">
        <v>483</v>
      </c>
      <c r="D31" s="20">
        <f>'прил12(ведом 19)'!M702</f>
        <v>18223.901000000002</v>
      </c>
    </row>
    <row r="32" spans="1:4" ht="37.5">
      <c r="A32" s="53"/>
      <c r="B32" s="52" t="s">
        <v>479</v>
      </c>
      <c r="C32" s="19" t="s">
        <v>476</v>
      </c>
      <c r="D32" s="20">
        <f>'прил12(ведом 19)'!M703</f>
        <v>35.700000000000003</v>
      </c>
    </row>
    <row r="33" spans="1:5" ht="18.75">
      <c r="A33" s="53">
        <v>5</v>
      </c>
      <c r="B33" s="50" t="s">
        <v>253</v>
      </c>
      <c r="C33" s="16" t="s">
        <v>254</v>
      </c>
      <c r="D33" s="17">
        <f>SUM(D34:D38)</f>
        <v>989791.83176999993</v>
      </c>
    </row>
    <row r="34" spans="1:5" ht="18.75">
      <c r="A34" s="54"/>
      <c r="B34" s="51" t="s">
        <v>255</v>
      </c>
      <c r="C34" s="18" t="s">
        <v>256</v>
      </c>
      <c r="D34" s="15">
        <f>'прил12(ведом 19)'!M706</f>
        <v>311041.26599999995</v>
      </c>
      <c r="E34" s="840">
        <v>-0.01</v>
      </c>
    </row>
    <row r="35" spans="1:5" ht="18.75">
      <c r="A35" s="54"/>
      <c r="B35" s="51" t="s">
        <v>257</v>
      </c>
      <c r="C35" s="18" t="s">
        <v>258</v>
      </c>
      <c r="D35" s="15">
        <f>'прил12(ведом 19)'!M707</f>
        <v>516610.33899999998</v>
      </c>
    </row>
    <row r="36" spans="1:5" ht="18.75">
      <c r="A36" s="54"/>
      <c r="B36" s="51" t="s">
        <v>516</v>
      </c>
      <c r="C36" s="18" t="s">
        <v>517</v>
      </c>
      <c r="D36" s="15">
        <f>'прил12(ведом 19)'!M708</f>
        <v>105257.78846000001</v>
      </c>
    </row>
    <row r="37" spans="1:5" ht="18.75">
      <c r="A37" s="53"/>
      <c r="B37" s="51" t="s">
        <v>259</v>
      </c>
      <c r="C37" s="18" t="s">
        <v>518</v>
      </c>
      <c r="D37" s="15">
        <f>'прил12(ведом 19)'!M710</f>
        <v>8103.4000000000005</v>
      </c>
    </row>
    <row r="38" spans="1:5" ht="18.75">
      <c r="A38" s="54"/>
      <c r="B38" s="51" t="s">
        <v>260</v>
      </c>
      <c r="C38" s="18" t="s">
        <v>261</v>
      </c>
      <c r="D38" s="15">
        <f>'прил12(ведом 19)'!M711</f>
        <v>48779.038309999996</v>
      </c>
      <c r="E38" s="516"/>
    </row>
    <row r="39" spans="1:5" ht="18.75">
      <c r="A39" s="57">
        <v>6</v>
      </c>
      <c r="B39" s="50" t="s">
        <v>262</v>
      </c>
      <c r="C39" s="16" t="s">
        <v>263</v>
      </c>
      <c r="D39" s="17">
        <f>SUM(D40:D41)</f>
        <v>33774.400000000001</v>
      </c>
    </row>
    <row r="40" spans="1:5" ht="18.75">
      <c r="A40" s="54"/>
      <c r="B40" s="51" t="s">
        <v>264</v>
      </c>
      <c r="C40" s="18" t="s">
        <v>265</v>
      </c>
      <c r="D40" s="15">
        <f>'прил12(ведом 19)'!M714</f>
        <v>23957.200000000001</v>
      </c>
    </row>
    <row r="41" spans="1:5" ht="37.5">
      <c r="A41" s="54"/>
      <c r="B41" s="51" t="s">
        <v>266</v>
      </c>
      <c r="C41" s="18" t="s">
        <v>267</v>
      </c>
      <c r="D41" s="15">
        <f>'прил12(ведом 19)'!M715</f>
        <v>9817.1999999999989</v>
      </c>
    </row>
    <row r="42" spans="1:5" ht="18.75">
      <c r="A42" s="53">
        <v>7</v>
      </c>
      <c r="B42" s="50" t="s">
        <v>268</v>
      </c>
      <c r="C42" s="16" t="s">
        <v>269</v>
      </c>
      <c r="D42" s="17">
        <f>SUM(D43:D43)</f>
        <v>8508.1</v>
      </c>
      <c r="E42" s="21"/>
    </row>
    <row r="43" spans="1:5" ht="18.75">
      <c r="A43" s="54"/>
      <c r="B43" s="51" t="s">
        <v>270</v>
      </c>
      <c r="C43" s="18" t="s">
        <v>271</v>
      </c>
      <c r="D43" s="15">
        <f>'прил12(ведом 19)'!M719</f>
        <v>8508.1</v>
      </c>
    </row>
    <row r="44" spans="1:5" s="22" customFormat="1" ht="18.75">
      <c r="A44" s="53">
        <v>8</v>
      </c>
      <c r="B44" s="53">
        <v>1000</v>
      </c>
      <c r="C44" s="16" t="s">
        <v>182</v>
      </c>
      <c r="D44" s="17">
        <f>SUM(D45:D47)</f>
        <v>120943.70000000001</v>
      </c>
    </row>
    <row r="45" spans="1:5" ht="18.75">
      <c r="A45" s="54"/>
      <c r="B45" s="54">
        <v>1001</v>
      </c>
      <c r="C45" s="18" t="s">
        <v>525</v>
      </c>
      <c r="D45" s="15">
        <f>'прил12(ведом 19)'!M724</f>
        <v>276</v>
      </c>
    </row>
    <row r="46" spans="1:5" ht="18.75">
      <c r="A46" s="54"/>
      <c r="B46" s="54">
        <v>1004</v>
      </c>
      <c r="C46" s="18" t="s">
        <v>272</v>
      </c>
      <c r="D46" s="20">
        <f>'прил12(ведом 19)'!M726</f>
        <v>111748.30000000002</v>
      </c>
    </row>
    <row r="47" spans="1:5" ht="18.75">
      <c r="A47" s="54"/>
      <c r="B47" s="54">
        <v>1006</v>
      </c>
      <c r="C47" s="18" t="s">
        <v>273</v>
      </c>
      <c r="D47" s="20">
        <f>'прил12(ведом 19)'!M727</f>
        <v>8919.4</v>
      </c>
    </row>
    <row r="48" spans="1:5" ht="18.75">
      <c r="A48" s="57">
        <v>9</v>
      </c>
      <c r="B48" s="55">
        <v>1100</v>
      </c>
      <c r="C48" s="13" t="s">
        <v>274</v>
      </c>
      <c r="D48" s="23">
        <f>SUM(D49:D51)</f>
        <v>52922.173299999995</v>
      </c>
    </row>
    <row r="49" spans="1:10" ht="18.75">
      <c r="A49" s="76"/>
      <c r="B49" s="56">
        <v>1101</v>
      </c>
      <c r="C49" s="84" t="s">
        <v>538</v>
      </c>
      <c r="D49" s="20">
        <f>'прил12(ведом 19)'!M730</f>
        <v>48851.773299999993</v>
      </c>
    </row>
    <row r="50" spans="1:10" ht="18.75">
      <c r="A50" s="57"/>
      <c r="B50" s="51" t="s">
        <v>275</v>
      </c>
      <c r="C50" s="24" t="s">
        <v>276</v>
      </c>
      <c r="D50" s="20">
        <f>'прил12(ведом 19)'!M731</f>
        <v>1720.3</v>
      </c>
    </row>
    <row r="51" spans="1:10" ht="37.5">
      <c r="A51" s="54"/>
      <c r="B51" s="51" t="s">
        <v>277</v>
      </c>
      <c r="C51" s="25" t="s">
        <v>278</v>
      </c>
      <c r="D51" s="15">
        <f>'прил12(ведом 19)'!M732</f>
        <v>2350.1</v>
      </c>
    </row>
    <row r="52" spans="1:10" ht="37.5">
      <c r="A52" s="53">
        <v>10</v>
      </c>
      <c r="B52" s="50" t="s">
        <v>630</v>
      </c>
      <c r="C52" s="86" t="s">
        <v>608</v>
      </c>
      <c r="D52" s="23">
        <f>D53</f>
        <v>14.3</v>
      </c>
    </row>
    <row r="53" spans="1:10" ht="37.5">
      <c r="A53" s="54"/>
      <c r="B53" s="51" t="s">
        <v>631</v>
      </c>
      <c r="C53" s="25" t="s">
        <v>609</v>
      </c>
      <c r="D53" s="15">
        <f>'прил12(ведом 19)'!M735</f>
        <v>14.3</v>
      </c>
    </row>
    <row r="54" spans="1:10" ht="56.25">
      <c r="A54" s="53">
        <v>11</v>
      </c>
      <c r="B54" s="55">
        <v>1400</v>
      </c>
      <c r="C54" s="16" t="s">
        <v>279</v>
      </c>
      <c r="D54" s="26">
        <f>SUM(D55:D57)</f>
        <v>10926.706</v>
      </c>
    </row>
    <row r="55" spans="1:10" ht="56.25">
      <c r="A55" s="58"/>
      <c r="B55" s="56">
        <v>1401</v>
      </c>
      <c r="C55" s="18" t="s">
        <v>280</v>
      </c>
      <c r="D55" s="27">
        <f>'прил12(ведом 19)'!M738</f>
        <v>5000</v>
      </c>
      <c r="H55" s="736"/>
      <c r="J55" s="736"/>
    </row>
    <row r="56" spans="1:10" ht="18.75">
      <c r="A56" s="58"/>
      <c r="B56" s="56">
        <v>1402</v>
      </c>
      <c r="C56" s="18" t="s">
        <v>876</v>
      </c>
      <c r="D56" s="27">
        <f>'прил12(ведом 19)'!M739</f>
        <v>4800</v>
      </c>
    </row>
    <row r="57" spans="1:10" ht="37.5">
      <c r="A57" s="58"/>
      <c r="B57" s="56">
        <v>1403</v>
      </c>
      <c r="C57" s="18" t="s">
        <v>885</v>
      </c>
      <c r="D57" s="27">
        <f>'прил12(ведом 19)'!M740</f>
        <v>1126.7059999999999</v>
      </c>
    </row>
    <row r="60" spans="1:10" s="29" customFormat="1" ht="18.75">
      <c r="A60" s="96" t="s">
        <v>588</v>
      </c>
      <c r="B60" s="31"/>
      <c r="C60" s="32"/>
      <c r="D60" s="32"/>
      <c r="E60" s="32"/>
      <c r="F60" s="33"/>
      <c r="G60" s="34"/>
      <c r="H60" s="30"/>
    </row>
    <row r="61" spans="1:10" s="29" customFormat="1" ht="18.75">
      <c r="A61" s="96" t="s">
        <v>589</v>
      </c>
      <c r="B61" s="31"/>
      <c r="C61" s="32"/>
      <c r="D61" s="32"/>
      <c r="E61" s="32"/>
      <c r="F61" s="33"/>
      <c r="G61" s="34"/>
      <c r="H61" s="30"/>
    </row>
    <row r="62" spans="1:10" s="29" customFormat="1" ht="18.75">
      <c r="A62" s="97" t="s">
        <v>590</v>
      </c>
      <c r="B62" s="31"/>
      <c r="D62" s="28" t="s">
        <v>641</v>
      </c>
      <c r="E62" s="32"/>
      <c r="F62" s="33"/>
    </row>
  </sheetData>
  <autoFilter ref="A1:D62"/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FF00"/>
    <pageSetUpPr fitToPage="1"/>
  </sheetPr>
  <dimension ref="A1:H56"/>
  <sheetViews>
    <sheetView zoomScale="90" zoomScaleNormal="90" zoomScaleSheetLayoutView="90" workbookViewId="0">
      <selection activeCell="Q25" sqref="Q25"/>
    </sheetView>
  </sheetViews>
  <sheetFormatPr defaultColWidth="9.140625" defaultRowHeight="18"/>
  <cols>
    <col min="1" max="1" width="6.140625" style="352" customWidth="1"/>
    <col min="2" max="2" width="9.140625" style="352" customWidth="1"/>
    <col min="3" max="3" width="62.140625" style="352" customWidth="1"/>
    <col min="4" max="4" width="14.7109375" style="354" customWidth="1"/>
    <col min="5" max="5" width="14.140625" style="352" customWidth="1"/>
    <col min="6" max="6" width="8.28515625" style="352" customWidth="1"/>
    <col min="7" max="7" width="22.85546875" style="352" customWidth="1"/>
    <col min="8" max="8" width="22.5703125" style="352" customWidth="1"/>
    <col min="9" max="16384" width="9.140625" style="352"/>
  </cols>
  <sheetData>
    <row r="1" spans="1:8" s="236" customFormat="1" ht="18.75">
      <c r="E1" s="244" t="s">
        <v>592</v>
      </c>
    </row>
    <row r="2" spans="1:8" s="236" customFormat="1" ht="18.75">
      <c r="E2" s="244" t="s">
        <v>903</v>
      </c>
    </row>
    <row r="4" spans="1:8" ht="18.75">
      <c r="E4" s="244" t="s">
        <v>700</v>
      </c>
    </row>
    <row r="5" spans="1:8" ht="18.75">
      <c r="E5" s="244" t="s">
        <v>817</v>
      </c>
    </row>
    <row r="7" spans="1:8" ht="18.75">
      <c r="A7" s="353"/>
      <c r="B7" s="353"/>
      <c r="C7" s="353"/>
    </row>
    <row r="8" spans="1:8" ht="18.75">
      <c r="A8" s="922" t="s">
        <v>233</v>
      </c>
      <c r="B8" s="922"/>
      <c r="C8" s="922"/>
      <c r="D8" s="922"/>
      <c r="E8" s="922"/>
      <c r="F8" s="551"/>
    </row>
    <row r="9" spans="1:8" ht="18.75">
      <c r="A9" s="922" t="s">
        <v>748</v>
      </c>
      <c r="B9" s="922"/>
      <c r="C9" s="922"/>
      <c r="D9" s="922"/>
      <c r="E9" s="922"/>
      <c r="F9" s="551"/>
    </row>
    <row r="10" spans="1:8" ht="18.75">
      <c r="A10" s="353"/>
      <c r="D10" s="352"/>
    </row>
    <row r="11" spans="1:8" ht="18.75">
      <c r="E11" s="265" t="s">
        <v>75</v>
      </c>
    </row>
    <row r="12" spans="1:8" ht="18.75">
      <c r="A12" s="927" t="s">
        <v>234</v>
      </c>
      <c r="B12" s="928" t="s">
        <v>466</v>
      </c>
      <c r="C12" s="928" t="s">
        <v>77</v>
      </c>
      <c r="D12" s="907" t="s">
        <v>66</v>
      </c>
      <c r="E12" s="907"/>
      <c r="F12" s="581"/>
    </row>
    <row r="13" spans="1:8" ht="25.9" customHeight="1">
      <c r="A13" s="927"/>
      <c r="B13" s="928"/>
      <c r="C13" s="928"/>
      <c r="D13" s="582" t="s">
        <v>591</v>
      </c>
      <c r="E13" s="582" t="s">
        <v>716</v>
      </c>
      <c r="F13" s="583"/>
    </row>
    <row r="14" spans="1:8" ht="18.75">
      <c r="A14" s="358">
        <v>1</v>
      </c>
      <c r="B14" s="358">
        <v>2</v>
      </c>
      <c r="C14" s="358">
        <v>3</v>
      </c>
      <c r="D14" s="359">
        <v>4</v>
      </c>
      <c r="E14" s="359">
        <v>5</v>
      </c>
      <c r="F14" s="584"/>
    </row>
    <row r="15" spans="1:8" ht="18.75">
      <c r="A15" s="585"/>
      <c r="B15" s="585"/>
      <c r="C15" s="586" t="s">
        <v>235</v>
      </c>
      <c r="D15" s="587">
        <f>D17+D24+D27+D31+D37+D40+D48+D43+D50+D46</f>
        <v>1262652.1999999997</v>
      </c>
      <c r="E15" s="587">
        <f>E17+E24+E27+E31+E37+E40+E48+E43+E50+E46</f>
        <v>1229700.7</v>
      </c>
      <c r="G15" s="734">
        <f>D15-'прил13(ведом 20-21)'!M15</f>
        <v>0</v>
      </c>
      <c r="H15" s="735">
        <f>E15-'прил13(ведом 20-21)'!N15</f>
        <v>0</v>
      </c>
    </row>
    <row r="16" spans="1:8" ht="18.75">
      <c r="A16" s="585"/>
      <c r="B16" s="585"/>
      <c r="C16" s="588" t="s">
        <v>236</v>
      </c>
      <c r="D16" s="589"/>
      <c r="E16" s="589"/>
    </row>
    <row r="17" spans="1:7" ht="18.75">
      <c r="A17" s="590">
        <v>1</v>
      </c>
      <c r="B17" s="591" t="s">
        <v>237</v>
      </c>
      <c r="C17" s="592" t="s">
        <v>89</v>
      </c>
      <c r="D17" s="593">
        <f>SUM(D18:D23)</f>
        <v>112615.20000000001</v>
      </c>
      <c r="E17" s="593">
        <f>SUM(E18:E23)</f>
        <v>110606.7</v>
      </c>
      <c r="G17" s="354"/>
    </row>
    <row r="18" spans="1:7" ht="56.25">
      <c r="A18" s="594"/>
      <c r="B18" s="595" t="s">
        <v>238</v>
      </c>
      <c r="C18" s="596" t="s">
        <v>239</v>
      </c>
      <c r="D18" s="589">
        <f>'прил13(ведом 20-21)'!M376</f>
        <v>1971.5</v>
      </c>
      <c r="E18" s="589">
        <f>'прил13(ведом 20-21)'!N376</f>
        <v>1971.5</v>
      </c>
    </row>
    <row r="19" spans="1:7" ht="75">
      <c r="A19" s="594"/>
      <c r="B19" s="595" t="s">
        <v>240</v>
      </c>
      <c r="C19" s="596" t="s">
        <v>104</v>
      </c>
      <c r="D19" s="589">
        <f>'прил13(ведом 20-21)'!M377</f>
        <v>61196.9</v>
      </c>
      <c r="E19" s="589">
        <f>'прил13(ведом 20-21)'!N377</f>
        <v>59364.5</v>
      </c>
    </row>
    <row r="20" spans="1:7" ht="18.75">
      <c r="A20" s="594"/>
      <c r="B20" s="595" t="s">
        <v>642</v>
      </c>
      <c r="C20" s="149" t="s">
        <v>634</v>
      </c>
      <c r="D20" s="589">
        <f>'прил13(ведом 20-21)'!M378</f>
        <v>10.8</v>
      </c>
      <c r="E20" s="589">
        <f>'прил13(ведом 20-21)'!N378</f>
        <v>4.7</v>
      </c>
    </row>
    <row r="21" spans="1:7" ht="56.25">
      <c r="A21" s="594"/>
      <c r="B21" s="595" t="s">
        <v>241</v>
      </c>
      <c r="C21" s="596" t="s">
        <v>198</v>
      </c>
      <c r="D21" s="589">
        <f>'прил13(ведом 20-21)'!M379</f>
        <v>25456.400000000001</v>
      </c>
      <c r="E21" s="589">
        <f>'прил13(ведом 20-21)'!N379</f>
        <v>25454.5</v>
      </c>
    </row>
    <row r="22" spans="1:7" ht="18.75">
      <c r="A22" s="594"/>
      <c r="B22" s="595" t="s">
        <v>242</v>
      </c>
      <c r="C22" s="596" t="s">
        <v>122</v>
      </c>
      <c r="D22" s="589">
        <f>'прил13(ведом 20-21)'!M380</f>
        <v>3000</v>
      </c>
      <c r="E22" s="589">
        <f>'прил13(ведом 20-21)'!N380</f>
        <v>3000</v>
      </c>
    </row>
    <row r="23" spans="1:7" ht="18.75">
      <c r="A23" s="594"/>
      <c r="B23" s="595" t="s">
        <v>243</v>
      </c>
      <c r="C23" s="596" t="s">
        <v>129</v>
      </c>
      <c r="D23" s="589">
        <f>'прил13(ведом 20-21)'!M381</f>
        <v>20979.599999999999</v>
      </c>
      <c r="E23" s="589">
        <f>'прил13(ведом 20-21)'!N381</f>
        <v>20811.5</v>
      </c>
    </row>
    <row r="24" spans="1:7" ht="37.5">
      <c r="A24" s="590">
        <v>2</v>
      </c>
      <c r="B24" s="591" t="s">
        <v>244</v>
      </c>
      <c r="C24" s="592" t="s">
        <v>137</v>
      </c>
      <c r="D24" s="593">
        <f>SUM(D25:D26)</f>
        <v>9040.2000000000007</v>
      </c>
      <c r="E24" s="593">
        <f>SUM(E25:E26)</f>
        <v>9006.7000000000007</v>
      </c>
    </row>
    <row r="25" spans="1:7" ht="56.25">
      <c r="A25" s="594"/>
      <c r="B25" s="595" t="s">
        <v>245</v>
      </c>
      <c r="C25" s="596" t="s">
        <v>138</v>
      </c>
      <c r="D25" s="589">
        <f>'прил13(ведом 20-21)'!M384</f>
        <v>2643.1</v>
      </c>
      <c r="E25" s="589">
        <f>'прил13(ведом 20-21)'!M384</f>
        <v>2643.1</v>
      </c>
    </row>
    <row r="26" spans="1:7" ht="37.5">
      <c r="A26" s="594"/>
      <c r="B26" s="595" t="s">
        <v>246</v>
      </c>
      <c r="C26" s="596" t="s">
        <v>148</v>
      </c>
      <c r="D26" s="589">
        <f>'прил13(ведом 20-21)'!M385</f>
        <v>6397.1</v>
      </c>
      <c r="E26" s="589">
        <f>'прил13(ведом 20-21)'!N385</f>
        <v>6363.6</v>
      </c>
    </row>
    <row r="27" spans="1:7" ht="18.75">
      <c r="A27" s="590">
        <v>3</v>
      </c>
      <c r="B27" s="591" t="s">
        <v>247</v>
      </c>
      <c r="C27" s="592" t="s">
        <v>154</v>
      </c>
      <c r="D27" s="593">
        <f>SUM(D28:D30)</f>
        <v>20378.900000000001</v>
      </c>
      <c r="E27" s="593">
        <f>SUM(E28:E30)</f>
        <v>20397</v>
      </c>
    </row>
    <row r="28" spans="1:7" ht="18.75">
      <c r="A28" s="590"/>
      <c r="B28" s="595" t="s">
        <v>248</v>
      </c>
      <c r="C28" s="596" t="s">
        <v>155</v>
      </c>
      <c r="D28" s="589">
        <f>'прил13(ведом 20-21)'!M388</f>
        <v>11958.5</v>
      </c>
      <c r="E28" s="589">
        <f>'прил13(ведом 20-21)'!N388</f>
        <v>11958.5</v>
      </c>
    </row>
    <row r="29" spans="1:7" ht="18.75">
      <c r="A29" s="594"/>
      <c r="B29" s="595" t="s">
        <v>249</v>
      </c>
      <c r="C29" s="596" t="s">
        <v>161</v>
      </c>
      <c r="D29" s="589">
        <f>'прил13(ведом 20-21)'!M389</f>
        <v>4174.1000000000004</v>
      </c>
      <c r="E29" s="589">
        <f>'прил13(ведом 20-21)'!N389</f>
        <v>4240.8</v>
      </c>
    </row>
    <row r="30" spans="1:7" ht="18.75" customHeight="1">
      <c r="A30" s="594"/>
      <c r="B30" s="595" t="s">
        <v>250</v>
      </c>
      <c r="C30" s="596" t="s">
        <v>169</v>
      </c>
      <c r="D30" s="589">
        <f>'прил13(ведом 20-21)'!M390</f>
        <v>4246.3</v>
      </c>
      <c r="E30" s="589">
        <f>'прил13(ведом 20-21)'!N390</f>
        <v>4197.7</v>
      </c>
    </row>
    <row r="31" spans="1:7" ht="18.75">
      <c r="A31" s="590">
        <v>4</v>
      </c>
      <c r="B31" s="591" t="s">
        <v>253</v>
      </c>
      <c r="C31" s="592" t="s">
        <v>254</v>
      </c>
      <c r="D31" s="593">
        <f>SUM(D32:D36)</f>
        <v>885760.79999999981</v>
      </c>
      <c r="E31" s="593">
        <f>SUM(E32:E36)</f>
        <v>862356.49999999988</v>
      </c>
    </row>
    <row r="32" spans="1:7" ht="18.75">
      <c r="A32" s="594"/>
      <c r="B32" s="595" t="s">
        <v>255</v>
      </c>
      <c r="C32" s="596" t="s">
        <v>256</v>
      </c>
      <c r="D32" s="589">
        <f>'прил13(ведом 20-21)'!M398</f>
        <v>282079.3</v>
      </c>
      <c r="E32" s="589">
        <f>'прил13(ведом 20-21)'!N398</f>
        <v>268897.90000000002</v>
      </c>
    </row>
    <row r="33" spans="1:5" ht="18.75">
      <c r="A33" s="594"/>
      <c r="B33" s="595" t="s">
        <v>257</v>
      </c>
      <c r="C33" s="596" t="s">
        <v>258</v>
      </c>
      <c r="D33" s="589">
        <f>'прил13(ведом 20-21)'!M399</f>
        <v>463725.29999999993</v>
      </c>
      <c r="E33" s="589">
        <f>'прил13(ведом 20-21)'!N399</f>
        <v>456174.89999999991</v>
      </c>
    </row>
    <row r="34" spans="1:5" ht="18.75">
      <c r="A34" s="594"/>
      <c r="B34" s="595" t="s">
        <v>516</v>
      </c>
      <c r="C34" s="596" t="s">
        <v>517</v>
      </c>
      <c r="D34" s="589">
        <f>'прил13(ведом 20-21)'!M400</f>
        <v>91832.1</v>
      </c>
      <c r="E34" s="589">
        <f>'прил13(ведом 20-21)'!N400</f>
        <v>90214.299999999988</v>
      </c>
    </row>
    <row r="35" spans="1:5" ht="18.75">
      <c r="A35" s="590"/>
      <c r="B35" s="595" t="s">
        <v>259</v>
      </c>
      <c r="C35" s="596" t="s">
        <v>518</v>
      </c>
      <c r="D35" s="589">
        <f>'прил13(ведом 20-21)'!M402</f>
        <v>6126.7</v>
      </c>
      <c r="E35" s="589">
        <f>'прил13(ведом 20-21)'!N402</f>
        <v>6116.7999999999993</v>
      </c>
    </row>
    <row r="36" spans="1:5" ht="18.75">
      <c r="A36" s="594"/>
      <c r="B36" s="595" t="s">
        <v>260</v>
      </c>
      <c r="C36" s="596" t="s">
        <v>261</v>
      </c>
      <c r="D36" s="589">
        <f>'прил13(ведом 20-21)'!M403</f>
        <v>41997.4</v>
      </c>
      <c r="E36" s="589">
        <f>'прил13(ведом 20-21)'!N403</f>
        <v>40952.6</v>
      </c>
    </row>
    <row r="37" spans="1:5" ht="18.75">
      <c r="A37" s="597">
        <v>5</v>
      </c>
      <c r="B37" s="591" t="s">
        <v>262</v>
      </c>
      <c r="C37" s="592" t="s">
        <v>263</v>
      </c>
      <c r="D37" s="593">
        <f>SUM(D38:D39)</f>
        <v>28559.899999999998</v>
      </c>
      <c r="E37" s="593">
        <f>SUM(E38:E39)</f>
        <v>28530</v>
      </c>
    </row>
    <row r="38" spans="1:5" ht="18.75">
      <c r="A38" s="594"/>
      <c r="B38" s="595" t="s">
        <v>264</v>
      </c>
      <c r="C38" s="596" t="s">
        <v>265</v>
      </c>
      <c r="D38" s="589">
        <f>'прил13(ведом 20-21)'!M406</f>
        <v>20602.699999999997</v>
      </c>
      <c r="E38" s="589">
        <f>'прил13(ведом 20-21)'!N406</f>
        <v>20598</v>
      </c>
    </row>
    <row r="39" spans="1:5" ht="21" customHeight="1">
      <c r="A39" s="594"/>
      <c r="B39" s="595" t="s">
        <v>266</v>
      </c>
      <c r="C39" s="596" t="s">
        <v>267</v>
      </c>
      <c r="D39" s="589">
        <f>'прил13(ведом 20-21)'!M407</f>
        <v>7957.2</v>
      </c>
      <c r="E39" s="589">
        <f>'прил13(ведом 20-21)'!N407</f>
        <v>7932</v>
      </c>
    </row>
    <row r="40" spans="1:5" s="598" customFormat="1" ht="18.75">
      <c r="A40" s="590">
        <v>6</v>
      </c>
      <c r="B40" s="590">
        <v>1000</v>
      </c>
      <c r="C40" s="592" t="s">
        <v>182</v>
      </c>
      <c r="D40" s="593">
        <f>SUM(D41:D42)</f>
        <v>121836.00000000001</v>
      </c>
      <c r="E40" s="593">
        <f>SUM(E41:E42)</f>
        <v>124336</v>
      </c>
    </row>
    <row r="41" spans="1:5" ht="18.75">
      <c r="A41" s="594"/>
      <c r="B41" s="594">
        <v>1004</v>
      </c>
      <c r="C41" s="596" t="s">
        <v>272</v>
      </c>
      <c r="D41" s="599">
        <f>'прил13(ведом 20-21)'!M418</f>
        <v>115587.20000000001</v>
      </c>
      <c r="E41" s="599">
        <f>'прил13(ведом 20-21)'!N418</f>
        <v>118087.2</v>
      </c>
    </row>
    <row r="42" spans="1:5" ht="18.75">
      <c r="A42" s="594"/>
      <c r="B42" s="594">
        <v>1006</v>
      </c>
      <c r="C42" s="596" t="s">
        <v>273</v>
      </c>
      <c r="D42" s="599">
        <f>'прил13(ведом 20-21)'!M419</f>
        <v>6248.8</v>
      </c>
      <c r="E42" s="599">
        <f>'прил13(ведом 20-21)'!N419</f>
        <v>6248.8</v>
      </c>
    </row>
    <row r="43" spans="1:5" ht="18.75">
      <c r="A43" s="597">
        <v>7</v>
      </c>
      <c r="B43" s="600">
        <v>1100</v>
      </c>
      <c r="C43" s="586" t="s">
        <v>274</v>
      </c>
      <c r="D43" s="601">
        <f>SUM(D44:D45)</f>
        <v>36478.631000000001</v>
      </c>
      <c r="E43" s="601">
        <f>SUM(E44:E45)</f>
        <v>27558</v>
      </c>
    </row>
    <row r="44" spans="1:5" ht="18.75">
      <c r="A44" s="602"/>
      <c r="B44" s="603">
        <v>1101</v>
      </c>
      <c r="C44" s="604" t="s">
        <v>538</v>
      </c>
      <c r="D44" s="599">
        <f>'прил13(ведом 20-21)'!M422</f>
        <v>34195.631000000001</v>
      </c>
      <c r="E44" s="599">
        <f>'прил13(ведом 20-21)'!N422</f>
        <v>25295.9</v>
      </c>
    </row>
    <row r="45" spans="1:5" ht="37.5">
      <c r="A45" s="594"/>
      <c r="B45" s="595" t="s">
        <v>277</v>
      </c>
      <c r="C45" s="605" t="s">
        <v>278</v>
      </c>
      <c r="D45" s="589">
        <f>'прил13(ведом 20-21)'!M424</f>
        <v>2282.9999999999995</v>
      </c>
      <c r="E45" s="589">
        <f>'прил13(ведом 20-21)'!N424</f>
        <v>2262.1</v>
      </c>
    </row>
    <row r="46" spans="1:5" ht="37.5">
      <c r="A46" s="597">
        <v>8</v>
      </c>
      <c r="B46" s="591" t="s">
        <v>630</v>
      </c>
      <c r="C46" s="606" t="s">
        <v>608</v>
      </c>
      <c r="D46" s="601">
        <f>D47</f>
        <v>6.2</v>
      </c>
      <c r="E46" s="601">
        <f>E47</f>
        <v>0</v>
      </c>
    </row>
    <row r="47" spans="1:5" ht="37.5">
      <c r="A47" s="594"/>
      <c r="B47" s="595" t="s">
        <v>631</v>
      </c>
      <c r="C47" s="605" t="s">
        <v>609</v>
      </c>
      <c r="D47" s="589">
        <f>'прил13(ведом 20-21)'!M101</f>
        <v>6.2</v>
      </c>
      <c r="E47" s="589">
        <f>'прил13(ведом 20-21)'!N101</f>
        <v>0</v>
      </c>
    </row>
    <row r="48" spans="1:5" ht="56.25">
      <c r="A48" s="590">
        <v>9</v>
      </c>
      <c r="B48" s="600">
        <v>1400</v>
      </c>
      <c r="C48" s="592" t="s">
        <v>279</v>
      </c>
      <c r="D48" s="607">
        <f>SUM(D49:D49)</f>
        <v>5000</v>
      </c>
      <c r="E48" s="607">
        <f>SUM(E49:E49)</f>
        <v>5000</v>
      </c>
    </row>
    <row r="49" spans="1:8" ht="56.25">
      <c r="A49" s="608"/>
      <c r="B49" s="603">
        <v>1401</v>
      </c>
      <c r="C49" s="596" t="s">
        <v>280</v>
      </c>
      <c r="D49" s="609">
        <f>'прил13(ведом 20-21)'!M430</f>
        <v>5000</v>
      </c>
      <c r="E49" s="609">
        <f>'прил13(ведом 20-21)'!N430</f>
        <v>5000</v>
      </c>
    </row>
    <row r="50" spans="1:8" ht="18.75">
      <c r="A50" s="590">
        <v>10</v>
      </c>
      <c r="B50" s="600"/>
      <c r="C50" s="592" t="s">
        <v>546</v>
      </c>
      <c r="D50" s="607">
        <f>SUM(D51:D51)</f>
        <v>42976.368999999999</v>
      </c>
      <c r="E50" s="607">
        <f>SUM(E51:E51)</f>
        <v>41909.800000000003</v>
      </c>
    </row>
    <row r="51" spans="1:8" ht="18.75">
      <c r="A51" s="608"/>
      <c r="B51" s="603"/>
      <c r="C51" s="596" t="s">
        <v>546</v>
      </c>
      <c r="D51" s="609">
        <f>'прил13(ведом 20-21)'!M433</f>
        <v>42976.368999999999</v>
      </c>
      <c r="E51" s="609">
        <f>'прил13(ведом 20-21)'!N433</f>
        <v>41909.800000000003</v>
      </c>
    </row>
    <row r="54" spans="1:8" s="211" customFormat="1" ht="18.75">
      <c r="A54" s="205" t="s">
        <v>588</v>
      </c>
      <c r="B54" s="206"/>
      <c r="C54" s="207"/>
      <c r="D54" s="207"/>
      <c r="E54" s="207"/>
      <c r="F54" s="208"/>
      <c r="G54" s="209"/>
      <c r="H54" s="210"/>
    </row>
    <row r="55" spans="1:8" s="211" customFormat="1" ht="18.75">
      <c r="A55" s="205" t="s">
        <v>589</v>
      </c>
      <c r="B55" s="206"/>
      <c r="C55" s="207"/>
      <c r="D55" s="207"/>
      <c r="E55" s="207"/>
      <c r="F55" s="208"/>
      <c r="G55" s="209"/>
      <c r="H55" s="210"/>
    </row>
    <row r="56" spans="1:8" s="211" customFormat="1" ht="18.75">
      <c r="A56" s="212" t="s">
        <v>590</v>
      </c>
      <c r="B56" s="206"/>
      <c r="E56" s="262" t="s">
        <v>641</v>
      </c>
      <c r="F56" s="208"/>
    </row>
  </sheetData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30</vt:i4>
      </vt:variant>
    </vt:vector>
  </HeadingPairs>
  <TitlesOfParts>
    <vt:vector size="52" baseType="lpstr">
      <vt:lpstr>прил.1 (админ.)</vt:lpstr>
      <vt:lpstr>прил. 2 (поступл.19)</vt:lpstr>
      <vt:lpstr>прил. 3 (поступл. 20-21)</vt:lpstr>
      <vt:lpstr>прил.4 (пост.безв.19)</vt:lpstr>
      <vt:lpstr>прил.5 (пост.безв.20-21)</vt:lpstr>
      <vt:lpstr>прил.6 (безв.от пос.19)</vt:lpstr>
      <vt:lpstr>прил.7 (норм.доходов)</vt:lpstr>
      <vt:lpstr>прил 8 (Рз,ПР 19)</vt:lpstr>
      <vt:lpstr>прил 9 (Рз,ПР 20-21)</vt:lpstr>
      <vt:lpstr>прил 10 (ЦС,ВР 19)</vt:lpstr>
      <vt:lpstr>прил 11 (ЦС,ВР 20-21)</vt:lpstr>
      <vt:lpstr>прил12(ведом 19)</vt:lpstr>
      <vt:lpstr>прил13(ведом 20-21)</vt:lpstr>
      <vt:lpstr>прил.14 (Источники 19)</vt:lpstr>
      <vt:lpstr>прил.15 (Источники 20-21)</vt:lpstr>
      <vt:lpstr>прил.16(безв.всего 19)</vt:lpstr>
      <vt:lpstr>прил.17(безв.всего 20-21)</vt:lpstr>
      <vt:lpstr>прил.18(дотация 19)</vt:lpstr>
      <vt:lpstr>прил.19(дотация 20-21)</vt:lpstr>
      <vt:lpstr>прил.20мун.заим.19-21)</vt:lpstr>
      <vt:lpstr>прил.21(гар. 19-21)</vt:lpstr>
      <vt:lpstr>прил.22(инвест.19)</vt:lpstr>
      <vt:lpstr>'прил 10 (ЦС,ВР 19)'!Заголовки_для_печати</vt:lpstr>
      <vt:lpstr>'прил 11 (ЦС,ВР 20-21)'!Заголовки_для_печати</vt:lpstr>
      <vt:lpstr>'прил 8 (Рз,ПР 19)'!Заголовки_для_печати</vt:lpstr>
      <vt:lpstr>'прил 9 (Рз,ПР 20-21)'!Заголовки_для_печати</vt:lpstr>
      <vt:lpstr>'прил. 2 (поступл.19)'!Заголовки_для_печати</vt:lpstr>
      <vt:lpstr>'прил. 3 (поступл. 20-21)'!Заголовки_для_печати</vt:lpstr>
      <vt:lpstr>'прил.1 (админ.)'!Заголовки_для_печати</vt:lpstr>
      <vt:lpstr>'прил.14 (Источники 19)'!Заголовки_для_печати</vt:lpstr>
      <vt:lpstr>'прил.15 (Источники 20-21)'!Заголовки_для_печати</vt:lpstr>
      <vt:lpstr>'прил.4 (пост.безв.19)'!Заголовки_для_печати</vt:lpstr>
      <vt:lpstr>'прил.5 (пост.безв.20-21)'!Заголовки_для_печати</vt:lpstr>
      <vt:lpstr>'прил.7 (норм.доходов)'!Заголовки_для_печати</vt:lpstr>
      <vt:lpstr>'прил12(ведом 19)'!Заголовки_для_печати</vt:lpstr>
      <vt:lpstr>'прил13(ведом 20-21)'!Заголовки_для_печати</vt:lpstr>
      <vt:lpstr>'прил 10 (ЦС,ВР 19)'!Область_печати</vt:lpstr>
      <vt:lpstr>'прил 11 (ЦС,ВР 20-21)'!Область_печати</vt:lpstr>
      <vt:lpstr>'прил 8 (Рз,ПР 19)'!Область_печати</vt:lpstr>
      <vt:lpstr>'прил 9 (Рз,ПР 20-21)'!Область_печати</vt:lpstr>
      <vt:lpstr>'прил. 2 (поступл.19)'!Область_печати</vt:lpstr>
      <vt:lpstr>'прил. 3 (поступл. 20-21)'!Область_печати</vt:lpstr>
      <vt:lpstr>'прил.1 (админ.)'!Область_печати</vt:lpstr>
      <vt:lpstr>'прил.16(безв.всего 19)'!Область_печати</vt:lpstr>
      <vt:lpstr>'прил.18(дотация 19)'!Область_печати</vt:lpstr>
      <vt:lpstr>'прил.19(дотация 20-21)'!Область_печати</vt:lpstr>
      <vt:lpstr>'прил.22(инвест.19)'!Область_печати</vt:lpstr>
      <vt:lpstr>'прил.4 (пост.безв.19)'!Область_печати</vt:lpstr>
      <vt:lpstr>'прил.5 (пост.безв.20-21)'!Область_печати</vt:lpstr>
      <vt:lpstr>'прил.6 (безв.от пос.19)'!Область_печати</vt:lpstr>
      <vt:lpstr>'прил12(ведом 19)'!Область_печати</vt:lpstr>
      <vt:lpstr>'прил13(ведом 20-21)'!Область_печати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2019-08-19T07:17:45Z</dcterms:modified>
</cp:coreProperties>
</file>